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06" yWindow="1515" windowWidth="19440" windowHeight="4320" activeTab="6"/>
  </bookViews>
  <sheets>
    <sheet name="Summary Sheet" sheetId="1" r:id="rId1"/>
    <sheet name="Summary DataSheet" sheetId="2" state="hidden" r:id="rId2"/>
    <sheet name="Main Datasheet" sheetId="3" state="hidden" r:id="rId3"/>
    <sheet name="Indicator 2" sheetId="4" r:id="rId4"/>
    <sheet name="Indicator 3" sheetId="5" r:id="rId5"/>
    <sheet name="Indicator 4" sheetId="6" r:id="rId6"/>
    <sheet name="Indicator 7" sheetId="7" r:id="rId7"/>
    <sheet name="Glossary" sheetId="8" r:id="rId8"/>
    <sheet name="Ref Data" sheetId="9" state="hidden" r:id="rId9"/>
  </sheets>
  <definedNames>
    <definedName name="In2Rate">OFFSET(INDIRECT(CONCATENATE("'Main Datasheet'!$D$"&amp;SUM(COUNTA('Main Datasheet'!$C:$C)-9))),0,0,12,1)</definedName>
    <definedName name="In2Rate25">OFFSET(INDIRECT(CONCATENATE("'Main Datasheet'!$E$"&amp;SUM(COUNTA('Main Datasheet'!$C:$C)-9))),0,0,12,1)</definedName>
    <definedName name="In2Threshold">OFFSET(INDIRECT(CONCATENATE("'Main Datasheet'!$H$"&amp;SUM(COUNTA('Main Datasheet'!$C:$C)-9))),0,0,12,1)</definedName>
    <definedName name="In395th">OFFSET(INDIRECT(CONCATENATE("'Main Datasheet'!$J$"&amp;SUM(COUNTA('Main Datasheet'!$C:$C)-9))),0,0,12,1)</definedName>
    <definedName name="In3Longest">OFFSET(INDIRECT(CONCATENATE("'Main Datasheet'!$K$"&amp;SUM(COUNTA('Main Datasheet'!$C:$C)-9))),0,0,12,1)</definedName>
    <definedName name="In3Median">OFFSET(INDIRECT(CONCATENATE("'Main Datasheet'!$I$"&amp;SUM(COUNTA('Main Datasheet'!$C:$C)-9))),0,0,12,1)</definedName>
    <definedName name="In3Threshold">OFFSET(INDIRECT(CONCATENATE("'Main Datasheet'!$N$"&amp;SUM(COUNTA('Main Datasheet'!$C:$C)-9))),0,0,12,1)</definedName>
    <definedName name="In4Rate">OFFSET(INDIRECT(CONCATENATE("'Main Datasheet'!$O$"&amp;SUM(COUNTA('Main Datasheet'!$C:$C)-9))),0,0,12,1)</definedName>
    <definedName name="In4Rate25">OFFSET(INDIRECT(CONCATENATE("'Main Datasheet'!$P$"&amp;SUM(COUNTA('Main Datasheet'!$C:$C)-9))),0,0,12,1)</definedName>
    <definedName name="In4Threshold">OFFSET(INDIRECT(CONCATENATE("'Main Datasheet'!$S$"&amp;SUM(COUNTA('Main Datasheet'!$C:$C)-9))),0,0,12,1)</definedName>
    <definedName name="In795th">OFFSET(INDIRECT(CONCATENATE("'Main Datasheet'!$U$"&amp;SUM(COUNTA('Main Datasheet'!$C:$C)-9))),0,0,12,1)</definedName>
    <definedName name="In7Longest">OFFSET(INDIRECT(CONCATENATE("'Main Datasheet'!$V$"&amp;SUM(COUNTA('Main Datasheet'!$C:$C)-9))),0,0,12,1)</definedName>
    <definedName name="In7Median">OFFSET(INDIRECT(CONCATENATE("'Main Datasheet'!$T$"&amp;SUM(COUNTA('Main Datasheet'!$C:$C)-9))),0,0,12,1)</definedName>
    <definedName name="In7Median25">OFFSET(INDIRECT(CONCATENATE("'Main Datasheet'!$W$"&amp;SUM(COUNTA('Main Datasheet'!$C:$C)-9))),0,0,12,1)</definedName>
    <definedName name="In7Threshold">OFFSET(INDIRECT(CONCATENATE("'Main Datasheet'!$Z$"&amp;SUM(COUNTA('Main Datasheet'!$C:$C)-9))),0,0,12,1)</definedName>
    <definedName name="Labels">OFFSET(INDIRECT(CONCATENATE("'Main Datasheet'!$A$"&amp;SUM(COUNTA('Main Datasheet'!$C:$C)-9))),0,0,12,2)</definedName>
    <definedName name="Months">'Ref Data'!$A$1:$B$12</definedName>
  </definedNames>
  <calcPr fullCalcOnLoad="1"/>
</workbook>
</file>

<file path=xl/sharedStrings.xml><?xml version="1.0" encoding="utf-8"?>
<sst xmlns="http://schemas.openxmlformats.org/spreadsheetml/2006/main" count="218" uniqueCount="103">
  <si>
    <t>Accident and Emergency Department Clinical Quality Indicators</t>
  </si>
  <si>
    <t>Overview</t>
  </si>
  <si>
    <t>General Information</t>
  </si>
  <si>
    <t>A&amp;E Site Name and Organisation</t>
  </si>
  <si>
    <t>A&amp;E Site Type</t>
  </si>
  <si>
    <t>Contact details for further information</t>
  </si>
  <si>
    <t>The date the report was published</t>
  </si>
  <si>
    <t>The time period the data in the report relate to</t>
  </si>
  <si>
    <t>Patient arrives</t>
  </si>
  <si>
    <t>Treatment</t>
  </si>
  <si>
    <t>Total time in Walk in Centre</t>
  </si>
  <si>
    <t>Re-Attendances</t>
  </si>
  <si>
    <t>Left without being seen</t>
  </si>
  <si>
    <t>Patient Experience</t>
  </si>
  <si>
    <t>Does not meet threshold</t>
  </si>
  <si>
    <t>Meets performance threshold</t>
  </si>
  <si>
    <t>Legend</t>
  </si>
  <si>
    <t>Indicator</t>
  </si>
  <si>
    <t>Ref</t>
  </si>
  <si>
    <t>Measure</t>
  </si>
  <si>
    <t>Threshold</t>
  </si>
  <si>
    <t>Current Value</t>
  </si>
  <si>
    <t>Unplanned re-attendance rate</t>
  </si>
  <si>
    <t>Rate</t>
  </si>
  <si>
    <t>Total time spent in WIC (non-admitted patients)</t>
  </si>
  <si>
    <t>95th percentile</t>
  </si>
  <si>
    <t>Time to treatment</t>
  </si>
  <si>
    <t>median</t>
  </si>
  <si>
    <t>Unit</t>
  </si>
  <si>
    <t>%</t>
  </si>
  <si>
    <t>minutes</t>
  </si>
  <si>
    <t>abc</t>
  </si>
  <si>
    <t>Year</t>
  </si>
  <si>
    <t>Month</t>
  </si>
  <si>
    <t>Date</t>
  </si>
  <si>
    <t>January</t>
  </si>
  <si>
    <t>February</t>
  </si>
  <si>
    <t>March</t>
  </si>
  <si>
    <t>April</t>
  </si>
  <si>
    <t>May</t>
  </si>
  <si>
    <t>June</t>
  </si>
  <si>
    <t>July</t>
  </si>
  <si>
    <t>August</t>
  </si>
  <si>
    <t>September</t>
  </si>
  <si>
    <t>October</t>
  </si>
  <si>
    <t>November</t>
  </si>
  <si>
    <t>December</t>
  </si>
  <si>
    <t>Rate over last 25 months</t>
  </si>
  <si>
    <t>Indicator 2 - Reattendance rate</t>
  </si>
  <si>
    <t>Indicator 3 - Total time in WIC</t>
  </si>
  <si>
    <t>Median</t>
  </si>
  <si>
    <t>95th Percentile</t>
  </si>
  <si>
    <t>Longest Wait</t>
  </si>
  <si>
    <t>% Nulls</t>
  </si>
  <si>
    <t>Indicator 4 - Left without being seen</t>
  </si>
  <si>
    <t>Indicator 7 - Time to Treatment</t>
  </si>
  <si>
    <t>Median over last 25 months</t>
  </si>
  <si>
    <t>Site - Level Performance</t>
  </si>
  <si>
    <t>Site Performance against national targets</t>
  </si>
  <si>
    <t>Poor Performance Threshold</t>
  </si>
  <si>
    <t>Description of Data</t>
  </si>
  <si>
    <t>Data Quality</t>
  </si>
  <si>
    <t>DQ Threshold</t>
  </si>
  <si>
    <t>Rationale</t>
  </si>
  <si>
    <t>Narrative</t>
  </si>
  <si>
    <t>Back</t>
  </si>
  <si>
    <t>DQ Treshold</t>
  </si>
  <si>
    <t>Average rate over last 25 months</t>
  </si>
  <si>
    <t>Comparative</t>
  </si>
  <si>
    <t>Unplanned Re-Attendance in your Walk in Centre</t>
  </si>
  <si>
    <t>Site Level Performance</t>
  </si>
  <si>
    <t>Poor performance threshold</t>
  </si>
  <si>
    <t>Guidance</t>
  </si>
  <si>
    <t>Total time in your Walk in Centre</t>
  </si>
  <si>
    <t>Site-Level Performance</t>
  </si>
  <si>
    <t>Site-Level Performance against national targets</t>
  </si>
  <si>
    <t>Glossary</t>
  </si>
  <si>
    <t>Patients leaving the walk in centre without being seen (LWBS)</t>
  </si>
  <si>
    <t>LWBS</t>
  </si>
  <si>
    <t>Type 3 A&amp;E</t>
  </si>
  <si>
    <t>Re-Attendance</t>
  </si>
  <si>
    <t>Triage</t>
  </si>
  <si>
    <t>The treatment of a patient after they have been triaged</t>
  </si>
  <si>
    <t>The second attendance for the same condition by a patient within 7 days of their first attendance</t>
  </si>
  <si>
    <t>This dashboard presents a comprehensive and balanced view of the care delivered by our Walk in Centre, and reflects the experience and safety of our patients and the effectiveness of the care they receive. These indicators will support patient expectations of high quality services and allow our Walk in Centre to demonstrate our ambition to deliver consistently excellent and continually improving services.</t>
  </si>
  <si>
    <t>Specialist treatment centre for the treatment of minor injuries and illnesses - including (but not limited to) infections, rashes, cuts and bruises</t>
  </si>
  <si>
    <t>The middle value in a hierarchical list of numbers</t>
  </si>
  <si>
    <t>The process of assessing a patient to determine clinical need, severity and most appropriate treatment options</t>
  </si>
  <si>
    <t>Left without being seen. The patient has left the walk in centre without being seen by a qualified clinician for either treatment or triage</t>
  </si>
  <si>
    <t>The number which falls above 95% of all other numbers in a series</t>
  </si>
  <si>
    <t>Type 4 (Walk in Centre)</t>
  </si>
  <si>
    <t>Widnes Urgent Care Centre, Bridgewater Community Health Care</t>
  </si>
  <si>
    <t>clinicalperformance@bridgewater.nhs.uk</t>
  </si>
  <si>
    <t>March 2020</t>
  </si>
  <si>
    <t>The national expectation (performance threshold) is that unplanned re-attendance rates of patients should not exceed 5%; Halton Walk in Centre has consistently remained below the threshold with an unplanned reattendance rate of 0.04% over the past 25 months.</t>
  </si>
  <si>
    <t>Both the monthly median figure of 8 minutes and the median figure for the last 25 months (8 minutes) are well within the performance thresholds set by the Department of Health (60 minutes).</t>
  </si>
  <si>
    <t xml:space="preserve">Over the past 25 months half of the patients treated in Halton Walk-in Centre have had their treatment commenced in 8 minutes. </t>
  </si>
  <si>
    <t>The unplanned re-attendance rate at Halton Walk in Centre has decreased from 0.06% in February 2020 to 0.00% in March 2020.  This is well within the performance thresholds set by the Department of Health (5%).</t>
  </si>
  <si>
    <t>The 95th percentile at Halton Walk in Centre decreased from 212 minutes in February 2020 to 194 minutes in March 2020. The median decreased from 85 to 69 minutes over the same period. The 95th percentile figure of 194 minutes is within the Department of Health threshold of 240 minutes.</t>
  </si>
  <si>
    <t>The national expectation (performance standard) is that 95% of patients will have their treatment complete within 240 minutes (4 hours). In March 2020 Halton Walk-in Centre treated 95% of patients within 194 minutes (3 hours, 14 minutes). The care of half of the patients who attended was completed in 85 minutes or less.</t>
  </si>
  <si>
    <t xml:space="preserve">The percentage of patients choosing not to wait in Halton Walk in Centre has decreased from 0.28% in February 2020 to 0.16% in March 2020. This is well within the performance thresholds set by the Department of Health (5%). </t>
  </si>
  <si>
    <t xml:space="preserve">The national target states that the percentage of patients who leave without being seen should not exceed 5%. The Halton Walk in Centre has consistently maintained a figure well below the upper limit with an average of 0.06% over the past 25 months.  </t>
  </si>
  <si>
    <t>The 95th percentile has increased from 20 minutes in Febuary 2020 to 22 minutes in March 2020; the median has remained at 8 minutes over the same period. The longest waiting time can be highly variable, this is to be expected given the nature of the Walk in Centre service, which deals with varying levels of patient need.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</si>
</sst>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mmm\-yyyy"/>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
  </numFmts>
  <fonts count="60">
    <font>
      <sz val="10"/>
      <name val="Arial"/>
      <family val="0"/>
    </font>
    <font>
      <b/>
      <sz val="10"/>
      <name val="Arial"/>
      <family val="2"/>
    </font>
    <font>
      <b/>
      <u val="single"/>
      <sz val="10"/>
      <name val="Arial"/>
      <family val="2"/>
    </font>
    <font>
      <b/>
      <u val="single"/>
      <sz val="12"/>
      <name val="Arial"/>
      <family val="2"/>
    </font>
    <font>
      <sz val="10"/>
      <color indexed="12"/>
      <name val="Arial"/>
      <family val="2"/>
    </font>
    <font>
      <sz val="8"/>
      <name val="Arial"/>
      <family val="2"/>
    </font>
    <font>
      <sz val="10"/>
      <color indexed="9"/>
      <name val="Arial"/>
      <family val="2"/>
    </font>
    <font>
      <b/>
      <sz val="10"/>
      <color indexed="9"/>
      <name val="Arial"/>
      <family val="2"/>
    </font>
    <font>
      <sz val="10"/>
      <color indexed="57"/>
      <name val="Arial"/>
      <family val="2"/>
    </font>
    <font>
      <sz val="10"/>
      <color indexed="10"/>
      <name val="Arial"/>
      <family val="2"/>
    </font>
    <font>
      <u val="single"/>
      <sz val="10"/>
      <color indexed="12"/>
      <name val="Arial"/>
      <family val="2"/>
    </font>
    <font>
      <u val="single"/>
      <sz val="10"/>
      <color indexed="36"/>
      <name val="Arial"/>
      <family val="2"/>
    </font>
    <font>
      <sz val="9"/>
      <name val="Arial"/>
      <family val="2"/>
    </font>
    <font>
      <sz val="10"/>
      <color indexed="8"/>
      <name val="Arial"/>
      <family val="2"/>
    </font>
    <font>
      <b/>
      <u val="single"/>
      <sz val="10"/>
      <color indexed="9"/>
      <name val="Arial"/>
      <family val="2"/>
    </font>
    <font>
      <sz val="14"/>
      <name val="Arial"/>
      <family val="2"/>
    </font>
    <font>
      <u val="single"/>
      <sz val="14"/>
      <color indexed="9"/>
      <name val="Arial"/>
      <family val="2"/>
    </font>
    <font>
      <sz val="9"/>
      <color indexed="12"/>
      <name val="Arial"/>
      <family val="2"/>
    </font>
    <font>
      <sz val="2.4"/>
      <color indexed="8"/>
      <name val="Arial"/>
      <family val="0"/>
    </font>
    <font>
      <sz val="8.25"/>
      <color indexed="8"/>
      <name val="Arial"/>
      <family val="0"/>
    </font>
    <font>
      <sz val="1.9"/>
      <color indexed="8"/>
      <name val="Arial"/>
      <family val="0"/>
    </font>
    <font>
      <sz val="8"/>
      <color indexed="8"/>
      <name val="Arial"/>
      <family val="0"/>
    </font>
    <font>
      <sz val="8.5"/>
      <color indexed="8"/>
      <name val="Arial"/>
      <family val="0"/>
    </font>
    <font>
      <sz val="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8"/>
        <bgColor indexed="64"/>
      </patternFill>
    </fill>
    <fill>
      <patternFill patternType="solid">
        <fgColor theme="0"/>
        <bgColor indexed="64"/>
      </patternFill>
    </fill>
    <fill>
      <patternFill patternType="solid">
        <fgColor indexed="5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medium"/>
      <right style="thin"/>
      <top style="medium"/>
      <bottom style="thin"/>
    </border>
    <border>
      <left style="thin"/>
      <right style="medium"/>
      <top style="medium"/>
      <bottom style="thin"/>
    </border>
    <border>
      <left>
        <color indexed="63"/>
      </left>
      <right style="thin">
        <color indexed="9"/>
      </right>
      <top style="thin">
        <color indexed="9"/>
      </top>
      <bottom style="thin">
        <color indexed="9"/>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indexed="9"/>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3">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0" fillId="32" borderId="11" xfId="0" applyFill="1" applyBorder="1" applyAlignment="1">
      <alignment/>
    </xf>
    <xf numFmtId="0" fontId="0" fillId="32" borderId="12" xfId="0" applyFill="1" applyBorder="1" applyAlignment="1">
      <alignment/>
    </xf>
    <xf numFmtId="0" fontId="0" fillId="32" borderId="0" xfId="0" applyFill="1" applyBorder="1" applyAlignment="1">
      <alignment/>
    </xf>
    <xf numFmtId="0" fontId="0" fillId="32" borderId="13" xfId="0" applyFill="1" applyBorder="1" applyAlignment="1">
      <alignment/>
    </xf>
    <xf numFmtId="0" fontId="0" fillId="32" borderId="14" xfId="0" applyFill="1" applyBorder="1" applyAlignment="1">
      <alignment/>
    </xf>
    <xf numFmtId="0" fontId="0" fillId="32" borderId="15" xfId="0" applyFill="1" applyBorder="1" applyAlignment="1">
      <alignment/>
    </xf>
    <xf numFmtId="0" fontId="0" fillId="32" borderId="16" xfId="0" applyFill="1" applyBorder="1" applyAlignment="1">
      <alignment/>
    </xf>
    <xf numFmtId="0" fontId="1" fillId="32" borderId="12" xfId="0" applyFont="1" applyFill="1" applyBorder="1" applyAlignment="1">
      <alignment/>
    </xf>
    <xf numFmtId="0" fontId="0" fillId="32" borderId="0" xfId="0" applyFill="1" applyBorder="1" applyAlignment="1">
      <alignment horizontal="center"/>
    </xf>
    <xf numFmtId="0" fontId="7" fillId="32" borderId="0" xfId="0" applyFont="1" applyFill="1" applyBorder="1" applyAlignment="1">
      <alignment horizontal="center"/>
    </xf>
    <xf numFmtId="0" fontId="0" fillId="32" borderId="0" xfId="0" applyFont="1" applyFill="1" applyBorder="1" applyAlignment="1">
      <alignment horizontal="center"/>
    </xf>
    <xf numFmtId="0" fontId="1" fillId="32" borderId="0" xfId="0" applyFont="1" applyFill="1" applyBorder="1" applyAlignment="1">
      <alignment horizontal="center"/>
    </xf>
    <xf numFmtId="0" fontId="2" fillId="32" borderId="0" xfId="0" applyFont="1" applyFill="1" applyBorder="1" applyAlignment="1">
      <alignment horizontal="center"/>
    </xf>
    <xf numFmtId="0" fontId="0" fillId="0" borderId="0" xfId="0" applyNumberFormat="1" applyAlignment="1">
      <alignment/>
    </xf>
    <xf numFmtId="0" fontId="6" fillId="33" borderId="17" xfId="0" applyFont="1" applyFill="1" applyBorder="1" applyAlignment="1">
      <alignment/>
    </xf>
    <xf numFmtId="0" fontId="6" fillId="33" borderId="17" xfId="0" applyNumberFormat="1" applyFont="1" applyFill="1" applyBorder="1" applyAlignment="1">
      <alignment/>
    </xf>
    <xf numFmtId="0" fontId="0" fillId="0" borderId="17" xfId="0" applyBorder="1" applyAlignment="1">
      <alignment/>
    </xf>
    <xf numFmtId="0" fontId="0" fillId="34" borderId="17" xfId="0" applyFill="1" applyBorder="1" applyAlignment="1">
      <alignment/>
    </xf>
    <xf numFmtId="0" fontId="0" fillId="34" borderId="17" xfId="0" applyNumberFormat="1" applyFill="1" applyBorder="1" applyAlignment="1">
      <alignment/>
    </xf>
    <xf numFmtId="9" fontId="0" fillId="34" borderId="17" xfId="0" applyNumberFormat="1" applyFill="1" applyBorder="1" applyAlignment="1">
      <alignment/>
    </xf>
    <xf numFmtId="0" fontId="6" fillId="32" borderId="0" xfId="0" applyFont="1" applyFill="1" applyBorder="1" applyAlignment="1">
      <alignment/>
    </xf>
    <xf numFmtId="14" fontId="0" fillId="0" borderId="0" xfId="0" applyNumberFormat="1" applyAlignment="1">
      <alignment/>
    </xf>
    <xf numFmtId="0" fontId="0" fillId="0" borderId="0" xfId="0" applyAlignment="1">
      <alignment horizontal="center" wrapText="1"/>
    </xf>
    <xf numFmtId="0" fontId="0" fillId="0" borderId="12" xfId="0" applyBorder="1" applyAlignment="1">
      <alignment/>
    </xf>
    <xf numFmtId="0" fontId="0" fillId="0" borderId="13" xfId="0" applyBorder="1" applyAlignment="1">
      <alignment horizontal="center" wrapText="1"/>
    </xf>
    <xf numFmtId="0" fontId="0" fillId="0" borderId="13" xfId="0" applyBorder="1" applyAlignment="1">
      <alignment/>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Font="1" applyAlignment="1">
      <alignment/>
    </xf>
    <xf numFmtId="0" fontId="0" fillId="0" borderId="0" xfId="0" applyFont="1" applyBorder="1" applyAlignment="1">
      <alignment horizontal="center" wrapText="1"/>
    </xf>
    <xf numFmtId="0" fontId="0" fillId="32" borderId="17" xfId="0" applyFill="1" applyBorder="1" applyAlignment="1">
      <alignment/>
    </xf>
    <xf numFmtId="0" fontId="0" fillId="32" borderId="21" xfId="0" applyFill="1" applyBorder="1" applyAlignment="1">
      <alignment/>
    </xf>
    <xf numFmtId="0" fontId="0" fillId="32" borderId="17" xfId="0" applyFill="1" applyBorder="1" applyAlignment="1">
      <alignment horizontal="right"/>
    </xf>
    <xf numFmtId="0" fontId="6" fillId="32" borderId="0" xfId="0" applyFont="1" applyFill="1" applyAlignment="1">
      <alignment/>
    </xf>
    <xf numFmtId="0" fontId="8" fillId="32" borderId="17" xfId="0" applyFont="1" applyFill="1" applyBorder="1" applyAlignment="1">
      <alignment horizontal="center"/>
    </xf>
    <xf numFmtId="0" fontId="9" fillId="32" borderId="17" xfId="0" applyFont="1" applyFill="1" applyBorder="1" applyAlignment="1">
      <alignment horizontal="center"/>
    </xf>
    <xf numFmtId="0" fontId="0" fillId="0" borderId="0" xfId="0" applyFont="1" applyFill="1" applyBorder="1" applyAlignment="1">
      <alignment horizontal="center" wrapText="1"/>
    </xf>
    <xf numFmtId="0" fontId="0" fillId="32" borderId="0" xfId="0" applyFill="1" applyAlignment="1">
      <alignment horizontal="center"/>
    </xf>
    <xf numFmtId="0" fontId="0" fillId="32" borderId="0" xfId="0" applyFont="1" applyFill="1" applyAlignment="1">
      <alignment/>
    </xf>
    <xf numFmtId="0" fontId="0" fillId="32" borderId="0" xfId="0" applyFont="1" applyFill="1" applyAlignment="1">
      <alignment/>
    </xf>
    <xf numFmtId="0" fontId="0" fillId="32" borderId="0" xfId="0" applyFont="1" applyFill="1" applyAlignment="1">
      <alignment/>
    </xf>
    <xf numFmtId="0" fontId="0" fillId="32" borderId="0" xfId="0" applyFont="1" applyFill="1" applyBorder="1" applyAlignment="1">
      <alignment horizontal="left" vertical="top" wrapText="1"/>
    </xf>
    <xf numFmtId="0" fontId="0" fillId="32" borderId="17" xfId="0" applyFont="1" applyFill="1" applyBorder="1" applyAlignment="1">
      <alignment horizontal="right"/>
    </xf>
    <xf numFmtId="0" fontId="0" fillId="0" borderId="0" xfId="0" applyFill="1" applyBorder="1" applyAlignment="1">
      <alignment horizontal="center" wrapText="1"/>
    </xf>
    <xf numFmtId="10" fontId="0" fillId="0" borderId="0" xfId="0" applyNumberFormat="1" applyFont="1" applyBorder="1" applyAlignment="1">
      <alignment horizontal="center" wrapText="1"/>
    </xf>
    <xf numFmtId="10" fontId="0" fillId="0" borderId="0" xfId="0" applyNumberFormat="1" applyFont="1" applyFill="1" applyBorder="1" applyAlignment="1">
      <alignment horizontal="center" wrapText="1"/>
    </xf>
    <xf numFmtId="10" fontId="0" fillId="0" borderId="0" xfId="0" applyNumberFormat="1" applyFont="1" applyAlignment="1">
      <alignment/>
    </xf>
    <xf numFmtId="10" fontId="0" fillId="0" borderId="0" xfId="0" applyNumberFormat="1" applyAlignment="1">
      <alignment/>
    </xf>
    <xf numFmtId="0" fontId="0" fillId="0" borderId="13" xfId="0" applyBorder="1" applyAlignment="1">
      <alignment horizontal="center"/>
    </xf>
    <xf numFmtId="0" fontId="13" fillId="32" borderId="0" xfId="0" applyFont="1" applyFill="1" applyAlignment="1">
      <alignment/>
    </xf>
    <xf numFmtId="0" fontId="0" fillId="32" borderId="0" xfId="0" applyFill="1" applyBorder="1" applyAlignment="1">
      <alignment vertical="top" wrapText="1"/>
    </xf>
    <xf numFmtId="0" fontId="6" fillId="32" borderId="0" xfId="0" applyNumberFormat="1" applyFont="1" applyFill="1" applyBorder="1" applyAlignment="1">
      <alignment/>
    </xf>
    <xf numFmtId="0" fontId="0" fillId="32" borderId="17" xfId="0" applyNumberFormat="1" applyFill="1"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5"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27"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15" fillId="0" borderId="0" xfId="0" applyFont="1" applyAlignment="1">
      <alignment/>
    </xf>
    <xf numFmtId="0" fontId="2" fillId="32" borderId="0" xfId="0" applyFont="1" applyFill="1" applyBorder="1" applyAlignment="1">
      <alignment/>
    </xf>
    <xf numFmtId="0" fontId="2" fillId="32" borderId="33" xfId="0" applyFont="1" applyFill="1" applyBorder="1" applyAlignment="1">
      <alignment/>
    </xf>
    <xf numFmtId="0" fontId="2" fillId="32" borderId="34" xfId="0" applyFont="1" applyFill="1" applyBorder="1" applyAlignment="1">
      <alignment/>
    </xf>
    <xf numFmtId="0" fontId="2" fillId="32" borderId="35" xfId="0" applyFont="1" applyFill="1" applyBorder="1" applyAlignment="1">
      <alignment/>
    </xf>
    <xf numFmtId="0" fontId="0" fillId="32" borderId="0" xfId="0" applyFont="1" applyFill="1" applyBorder="1" applyAlignment="1">
      <alignment vertical="top" wrapText="1"/>
    </xf>
    <xf numFmtId="0" fontId="2" fillId="32" borderId="0" xfId="0" applyFont="1" applyFill="1" applyBorder="1" applyAlignment="1">
      <alignment/>
    </xf>
    <xf numFmtId="10" fontId="0" fillId="0" borderId="18" xfId="0" applyNumberFormat="1" applyBorder="1" applyAlignment="1">
      <alignment horizontal="center" wrapText="1"/>
    </xf>
    <xf numFmtId="0" fontId="0" fillId="0" borderId="0" xfId="0" applyNumberFormat="1" applyFont="1" applyBorder="1" applyAlignment="1">
      <alignment horizontal="center" wrapText="1"/>
    </xf>
    <xf numFmtId="2" fontId="0" fillId="0" borderId="12" xfId="0" applyNumberFormat="1" applyFont="1" applyBorder="1" applyAlignment="1">
      <alignment horizontal="center" wrapText="1"/>
    </xf>
    <xf numFmtId="2" fontId="0" fillId="0" borderId="12" xfId="0" applyNumberFormat="1" applyFont="1" applyBorder="1" applyAlignment="1">
      <alignment/>
    </xf>
    <xf numFmtId="2" fontId="0" fillId="0" borderId="12" xfId="0" applyNumberFormat="1" applyBorder="1" applyAlignment="1">
      <alignment/>
    </xf>
    <xf numFmtId="2" fontId="0" fillId="0" borderId="0" xfId="0" applyNumberFormat="1" applyFont="1" applyBorder="1" applyAlignment="1">
      <alignment horizontal="center" wrapText="1"/>
    </xf>
    <xf numFmtId="0" fontId="0" fillId="32" borderId="36" xfId="0" applyFill="1" applyBorder="1" applyAlignment="1">
      <alignment horizontal="left" wrapText="1"/>
    </xf>
    <xf numFmtId="0" fontId="0" fillId="32" borderId="37" xfId="0" applyFill="1" applyBorder="1" applyAlignment="1">
      <alignment horizontal="left" wrapText="1"/>
    </xf>
    <xf numFmtId="0" fontId="0" fillId="32" borderId="38" xfId="0" applyFill="1" applyBorder="1" applyAlignment="1">
      <alignment horizontal="left" wrapText="1"/>
    </xf>
    <xf numFmtId="0" fontId="0" fillId="32" borderId="39" xfId="0" applyFill="1" applyBorder="1" applyAlignment="1">
      <alignment horizontal="left" wrapText="1"/>
    </xf>
    <xf numFmtId="0" fontId="0" fillId="32" borderId="0" xfId="0" applyFill="1" applyBorder="1" applyAlignment="1">
      <alignment horizontal="left" wrapText="1"/>
    </xf>
    <xf numFmtId="0" fontId="0" fillId="32" borderId="40" xfId="0" applyFill="1" applyBorder="1" applyAlignment="1">
      <alignment horizontal="left" wrapText="1"/>
    </xf>
    <xf numFmtId="2" fontId="0" fillId="0" borderId="12" xfId="59" applyNumberFormat="1"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horizontal="center" wrapText="1"/>
    </xf>
    <xf numFmtId="1" fontId="0" fillId="0" borderId="0" xfId="0" applyNumberFormat="1" applyFont="1" applyAlignment="1">
      <alignment/>
    </xf>
    <xf numFmtId="0" fontId="0" fillId="0" borderId="0" xfId="0" applyFont="1" applyAlignment="1">
      <alignment/>
    </xf>
    <xf numFmtId="2" fontId="0" fillId="32" borderId="17" xfId="0" applyNumberFormat="1" applyFont="1" applyFill="1" applyBorder="1" applyAlignment="1">
      <alignment/>
    </xf>
    <xf numFmtId="2" fontId="0" fillId="32" borderId="17" xfId="0" applyNumberFormat="1" applyFill="1" applyBorder="1" applyAlignment="1">
      <alignment/>
    </xf>
    <xf numFmtId="0" fontId="0" fillId="0" borderId="0" xfId="0" applyAlignment="1">
      <alignment horizontal="center"/>
    </xf>
    <xf numFmtId="0" fontId="5" fillId="32" borderId="36" xfId="0" applyFont="1" applyFill="1" applyBorder="1" applyAlignment="1">
      <alignment horizontal="center" vertical="center" wrapText="1"/>
    </xf>
    <xf numFmtId="0" fontId="5" fillId="32" borderId="38" xfId="0" applyFont="1" applyFill="1" applyBorder="1" applyAlignment="1">
      <alignment horizontal="center" vertical="center" wrapText="1"/>
    </xf>
    <xf numFmtId="0" fontId="5" fillId="32" borderId="39"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42" xfId="0" applyFont="1" applyFill="1" applyBorder="1" applyAlignment="1">
      <alignment horizontal="center" vertical="center" wrapText="1"/>
    </xf>
    <xf numFmtId="0" fontId="0" fillId="32" borderId="0" xfId="0" applyFill="1" applyBorder="1" applyAlignment="1">
      <alignment horizontal="left"/>
    </xf>
    <xf numFmtId="0" fontId="14" fillId="33" borderId="17" xfId="53" applyFont="1" applyFill="1" applyBorder="1" applyAlignment="1" applyProtection="1">
      <alignment horizontal="center"/>
      <protection/>
    </xf>
    <xf numFmtId="0" fontId="3" fillId="32" borderId="43" xfId="0" applyFont="1" applyFill="1" applyBorder="1" applyAlignment="1">
      <alignment horizontal="center"/>
    </xf>
    <xf numFmtId="0" fontId="3" fillId="32" borderId="10" xfId="0" applyFont="1" applyFill="1" applyBorder="1" applyAlignment="1">
      <alignment horizontal="center"/>
    </xf>
    <xf numFmtId="0" fontId="3" fillId="32" borderId="11" xfId="0" applyFont="1" applyFill="1" applyBorder="1" applyAlignment="1">
      <alignment horizontal="center"/>
    </xf>
    <xf numFmtId="0" fontId="0" fillId="32" borderId="12" xfId="0" applyFill="1" applyBorder="1" applyAlignment="1">
      <alignment horizontal="center" vertical="top" wrapText="1"/>
    </xf>
    <xf numFmtId="0" fontId="5" fillId="32" borderId="36" xfId="0" applyFont="1" applyFill="1" applyBorder="1" applyAlignment="1">
      <alignment horizontal="center" vertical="center" wrapText="1"/>
    </xf>
    <xf numFmtId="0" fontId="5" fillId="32" borderId="38" xfId="0" applyFont="1" applyFill="1" applyBorder="1" applyAlignment="1">
      <alignment horizontal="center" vertical="center" wrapText="1"/>
    </xf>
    <xf numFmtId="0" fontId="5" fillId="32" borderId="39" xfId="0" applyFont="1" applyFill="1" applyBorder="1" applyAlignment="1">
      <alignment horizontal="center" vertical="center" wrapText="1"/>
    </xf>
    <xf numFmtId="0" fontId="5" fillId="32" borderId="40" xfId="0" applyFont="1" applyFill="1" applyBorder="1" applyAlignment="1">
      <alignment horizontal="center" vertical="center" wrapText="1"/>
    </xf>
    <xf numFmtId="0" fontId="5" fillId="32" borderId="41" xfId="0" applyFont="1" applyFill="1" applyBorder="1" applyAlignment="1">
      <alignment horizontal="center" vertical="center" wrapText="1"/>
    </xf>
    <xf numFmtId="0" fontId="5" fillId="32" borderId="42" xfId="0" applyFont="1" applyFill="1" applyBorder="1" applyAlignment="1">
      <alignment horizontal="center" vertical="center" wrapText="1"/>
    </xf>
    <xf numFmtId="0" fontId="5" fillId="32" borderId="37"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0" fillId="32" borderId="17" xfId="0" applyFill="1" applyBorder="1" applyAlignment="1">
      <alignment horizontal="left"/>
    </xf>
    <xf numFmtId="0" fontId="4" fillId="32" borderId="28" xfId="0" applyFont="1" applyFill="1" applyBorder="1" applyAlignment="1">
      <alignment horizontal="right"/>
    </xf>
    <xf numFmtId="0" fontId="4" fillId="32" borderId="17" xfId="0" applyFont="1" applyFill="1" applyBorder="1" applyAlignment="1">
      <alignment horizontal="right"/>
    </xf>
    <xf numFmtId="0" fontId="14" fillId="33" borderId="17" xfId="53" applyFont="1" applyFill="1" applyBorder="1" applyAlignment="1" applyProtection="1">
      <alignment horizontal="center" vertical="top"/>
      <protection/>
    </xf>
    <xf numFmtId="0" fontId="7" fillId="35" borderId="17" xfId="0" applyFont="1" applyFill="1" applyBorder="1" applyAlignment="1">
      <alignment horizontal="center"/>
    </xf>
    <xf numFmtId="0" fontId="6" fillId="35" borderId="17" xfId="0" applyFont="1" applyFill="1" applyBorder="1" applyAlignment="1">
      <alignment horizontal="center"/>
    </xf>
    <xf numFmtId="49" fontId="4" fillId="32" borderId="44" xfId="0" applyNumberFormat="1" applyFont="1" applyFill="1" applyBorder="1" applyAlignment="1">
      <alignment horizontal="right"/>
    </xf>
    <xf numFmtId="49" fontId="4" fillId="32" borderId="34" xfId="0" applyNumberFormat="1" applyFont="1" applyFill="1" applyBorder="1" applyAlignment="1">
      <alignment horizontal="right"/>
    </xf>
    <xf numFmtId="49" fontId="4" fillId="32" borderId="35" xfId="0" applyNumberFormat="1" applyFont="1" applyFill="1" applyBorder="1" applyAlignment="1">
      <alignment horizontal="right"/>
    </xf>
    <xf numFmtId="0" fontId="3" fillId="32" borderId="33" xfId="0" applyFont="1" applyFill="1" applyBorder="1" applyAlignment="1">
      <alignment horizontal="left"/>
    </xf>
    <xf numFmtId="0" fontId="3" fillId="32" borderId="34" xfId="0" applyFont="1" applyFill="1" applyBorder="1" applyAlignment="1">
      <alignment horizontal="left"/>
    </xf>
    <xf numFmtId="0" fontId="3" fillId="32" borderId="35" xfId="0" applyFont="1" applyFill="1" applyBorder="1" applyAlignment="1">
      <alignment horizontal="left"/>
    </xf>
    <xf numFmtId="0" fontId="3" fillId="32" borderId="43" xfId="0" applyFont="1" applyFill="1" applyBorder="1" applyAlignment="1">
      <alignment horizontal="left"/>
    </xf>
    <xf numFmtId="0" fontId="3" fillId="32" borderId="10" xfId="0" applyFont="1" applyFill="1" applyBorder="1" applyAlignment="1">
      <alignment horizontal="left"/>
    </xf>
    <xf numFmtId="0" fontId="0" fillId="32" borderId="12" xfId="0" applyFill="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17" fillId="32" borderId="28" xfId="0" applyFont="1" applyFill="1" applyBorder="1" applyAlignment="1">
      <alignment horizontal="right"/>
    </xf>
    <xf numFmtId="0" fontId="17" fillId="32" borderId="17" xfId="0" applyFont="1" applyFill="1" applyBorder="1" applyAlignment="1">
      <alignment horizontal="right"/>
    </xf>
    <xf numFmtId="0" fontId="0" fillId="32" borderId="36" xfId="0" applyFill="1" applyBorder="1" applyAlignment="1">
      <alignment horizontal="left" vertical="top"/>
    </xf>
    <xf numFmtId="0" fontId="0" fillId="32" borderId="37" xfId="0" applyFill="1" applyBorder="1" applyAlignment="1">
      <alignment horizontal="left" vertical="top"/>
    </xf>
    <xf numFmtId="0" fontId="0" fillId="32" borderId="38" xfId="0" applyFill="1" applyBorder="1" applyAlignment="1">
      <alignment horizontal="left" vertical="top"/>
    </xf>
    <xf numFmtId="0" fontId="0" fillId="32" borderId="39" xfId="0" applyFill="1" applyBorder="1" applyAlignment="1">
      <alignment horizontal="left" vertical="top"/>
    </xf>
    <xf numFmtId="0" fontId="0" fillId="32" borderId="0" xfId="0" applyFill="1" applyBorder="1" applyAlignment="1">
      <alignment horizontal="left" vertical="top"/>
    </xf>
    <xf numFmtId="0" fontId="0" fillId="32" borderId="40" xfId="0" applyFill="1" applyBorder="1" applyAlignment="1">
      <alignment horizontal="left" vertical="top"/>
    </xf>
    <xf numFmtId="0" fontId="10" fillId="32" borderId="28" xfId="53" applyFill="1" applyBorder="1" applyAlignment="1" applyProtection="1">
      <alignment horizontal="right"/>
      <protection/>
    </xf>
    <xf numFmtId="14" fontId="4" fillId="32" borderId="28" xfId="0" applyNumberFormat="1" applyFont="1" applyFill="1" applyBorder="1" applyAlignment="1">
      <alignment horizontal="right"/>
    </xf>
    <xf numFmtId="14" fontId="4" fillId="32" borderId="17" xfId="0" applyNumberFormat="1" applyFont="1" applyFill="1" applyBorder="1" applyAlignment="1">
      <alignment horizontal="right"/>
    </xf>
    <xf numFmtId="0" fontId="0" fillId="0" borderId="45" xfId="0" applyBorder="1" applyAlignment="1">
      <alignment horizontal="center"/>
    </xf>
    <xf numFmtId="0" fontId="0" fillId="32" borderId="17" xfId="0" applyFill="1" applyBorder="1" applyAlignment="1">
      <alignment horizontal="right"/>
    </xf>
    <xf numFmtId="0" fontId="2" fillId="32" borderId="17" xfId="0" applyFont="1" applyFill="1" applyBorder="1" applyAlignment="1">
      <alignment horizontal="left"/>
    </xf>
    <xf numFmtId="0" fontId="2" fillId="32" borderId="33" xfId="0" applyFont="1" applyFill="1" applyBorder="1" applyAlignment="1">
      <alignment horizontal="left"/>
    </xf>
    <xf numFmtId="0" fontId="2" fillId="32" borderId="34" xfId="0" applyFont="1" applyFill="1" applyBorder="1" applyAlignment="1">
      <alignment horizontal="left"/>
    </xf>
    <xf numFmtId="0" fontId="2" fillId="32" borderId="35" xfId="0" applyFont="1" applyFill="1" applyBorder="1" applyAlignment="1">
      <alignment horizontal="left"/>
    </xf>
    <xf numFmtId="0" fontId="0" fillId="32" borderId="36" xfId="0" applyFill="1" applyBorder="1" applyAlignment="1">
      <alignment vertical="top" wrapText="1"/>
    </xf>
    <xf numFmtId="0" fontId="0" fillId="32" borderId="37" xfId="0" applyFill="1" applyBorder="1" applyAlignment="1">
      <alignment vertical="top" wrapText="1"/>
    </xf>
    <xf numFmtId="0" fontId="0" fillId="32" borderId="38" xfId="0" applyFill="1" applyBorder="1" applyAlignment="1">
      <alignment vertical="top" wrapText="1"/>
    </xf>
    <xf numFmtId="0" fontId="0" fillId="32" borderId="39" xfId="0" applyFill="1" applyBorder="1" applyAlignment="1">
      <alignment vertical="top" wrapText="1"/>
    </xf>
    <xf numFmtId="0" fontId="0" fillId="32" borderId="0" xfId="0" applyFill="1" applyBorder="1" applyAlignment="1">
      <alignment vertical="top" wrapText="1"/>
    </xf>
    <xf numFmtId="0" fontId="0" fillId="32" borderId="40" xfId="0" applyFill="1" applyBorder="1" applyAlignment="1">
      <alignment vertical="top" wrapText="1"/>
    </xf>
    <xf numFmtId="0" fontId="0" fillId="32" borderId="41" xfId="0" applyFill="1" applyBorder="1" applyAlignment="1">
      <alignment vertical="top" wrapText="1"/>
    </xf>
    <xf numFmtId="0" fontId="0" fillId="32" borderId="18" xfId="0" applyFill="1" applyBorder="1" applyAlignment="1">
      <alignment vertical="top" wrapText="1"/>
    </xf>
    <xf numFmtId="0" fontId="0" fillId="32" borderId="42" xfId="0" applyFill="1" applyBorder="1" applyAlignment="1">
      <alignment vertical="top" wrapText="1"/>
    </xf>
    <xf numFmtId="0" fontId="0" fillId="36" borderId="36" xfId="0" applyFont="1" applyFill="1" applyBorder="1" applyAlignment="1">
      <alignment horizontal="left" vertical="top" wrapText="1"/>
    </xf>
    <xf numFmtId="0" fontId="0" fillId="36" borderId="37" xfId="0" applyFill="1" applyBorder="1" applyAlignment="1">
      <alignment horizontal="left" vertical="top" wrapText="1"/>
    </xf>
    <xf numFmtId="0" fontId="0" fillId="36" borderId="38" xfId="0" applyFill="1" applyBorder="1" applyAlignment="1">
      <alignment horizontal="left" vertical="top" wrapText="1"/>
    </xf>
    <xf numFmtId="0" fontId="0" fillId="36" borderId="39" xfId="0" applyFill="1" applyBorder="1" applyAlignment="1">
      <alignment horizontal="left" vertical="top" wrapText="1"/>
    </xf>
    <xf numFmtId="0" fontId="0" fillId="36" borderId="0" xfId="0" applyFill="1" applyBorder="1" applyAlignment="1">
      <alignment horizontal="left" vertical="top" wrapText="1"/>
    </xf>
    <xf numFmtId="0" fontId="0" fillId="36" borderId="40" xfId="0" applyFill="1" applyBorder="1" applyAlignment="1">
      <alignment horizontal="left" vertical="top" wrapText="1"/>
    </xf>
    <xf numFmtId="0" fontId="0" fillId="36" borderId="41" xfId="0" applyFill="1" applyBorder="1" applyAlignment="1">
      <alignment horizontal="left" vertical="top" wrapText="1"/>
    </xf>
    <xf numFmtId="0" fontId="0" fillId="36" borderId="18" xfId="0" applyFill="1" applyBorder="1" applyAlignment="1">
      <alignment horizontal="left" vertical="top" wrapText="1"/>
    </xf>
    <xf numFmtId="0" fontId="0" fillId="36" borderId="42" xfId="0" applyFill="1" applyBorder="1" applyAlignment="1">
      <alignment horizontal="left" vertical="top" wrapText="1"/>
    </xf>
    <xf numFmtId="0" fontId="0" fillId="37" borderId="17" xfId="0" applyFont="1" applyFill="1" applyBorder="1" applyAlignment="1">
      <alignment horizontal="center"/>
    </xf>
    <xf numFmtId="0" fontId="2" fillId="32" borderId="17" xfId="0" applyFont="1" applyFill="1" applyBorder="1" applyAlignment="1">
      <alignment horizontal="center"/>
    </xf>
    <xf numFmtId="0" fontId="14" fillId="33" borderId="33" xfId="53" applyFont="1" applyFill="1" applyBorder="1" applyAlignment="1" applyProtection="1">
      <alignment horizontal="center"/>
      <protection/>
    </xf>
    <xf numFmtId="0" fontId="14" fillId="33" borderId="34" xfId="53" applyFont="1" applyFill="1" applyBorder="1" applyAlignment="1" applyProtection="1">
      <alignment horizontal="center"/>
      <protection/>
    </xf>
    <xf numFmtId="0" fontId="14" fillId="33" borderId="35" xfId="53" applyFont="1" applyFill="1" applyBorder="1" applyAlignment="1" applyProtection="1">
      <alignment horizontal="center"/>
      <protection/>
    </xf>
    <xf numFmtId="0" fontId="0" fillId="32" borderId="36" xfId="0" applyFont="1" applyFill="1" applyBorder="1" applyAlignment="1">
      <alignment vertical="top" wrapText="1"/>
    </xf>
    <xf numFmtId="0" fontId="0" fillId="37" borderId="33" xfId="0" applyFont="1" applyFill="1" applyBorder="1" applyAlignment="1">
      <alignment horizontal="center"/>
    </xf>
    <xf numFmtId="0" fontId="0" fillId="37" borderId="34" xfId="0" applyFont="1" applyFill="1" applyBorder="1" applyAlignment="1">
      <alignment horizontal="center"/>
    </xf>
    <xf numFmtId="0" fontId="0" fillId="37" borderId="35" xfId="0" applyFont="1" applyFill="1" applyBorder="1" applyAlignment="1">
      <alignment horizontal="center"/>
    </xf>
    <xf numFmtId="0" fontId="14" fillId="33" borderId="0" xfId="53" applyFont="1" applyFill="1" applyAlignment="1" applyProtection="1">
      <alignment horizontal="center"/>
      <protection/>
    </xf>
    <xf numFmtId="0" fontId="0" fillId="32" borderId="33" xfId="0" applyFont="1" applyFill="1" applyBorder="1" applyAlignment="1">
      <alignment horizontal="right"/>
    </xf>
    <xf numFmtId="0" fontId="0" fillId="32" borderId="35" xfId="0" applyFont="1" applyFill="1" applyBorder="1" applyAlignment="1">
      <alignment horizontal="right"/>
    </xf>
    <xf numFmtId="0" fontId="0" fillId="32" borderId="39" xfId="0" applyFont="1" applyFill="1" applyBorder="1" applyAlignment="1">
      <alignment horizontal="left" vertical="top" wrapText="1"/>
    </xf>
    <xf numFmtId="0" fontId="0" fillId="0" borderId="0" xfId="0" applyAlignment="1">
      <alignment/>
    </xf>
    <xf numFmtId="0" fontId="0" fillId="0" borderId="40" xfId="0" applyBorder="1" applyAlignment="1">
      <alignment/>
    </xf>
    <xf numFmtId="0" fontId="0" fillId="0" borderId="39" xfId="0" applyBorder="1" applyAlignment="1">
      <alignment/>
    </xf>
    <xf numFmtId="0" fontId="0" fillId="32" borderId="17" xfId="0" applyFont="1" applyFill="1" applyBorder="1" applyAlignment="1">
      <alignment horizontal="right"/>
    </xf>
    <xf numFmtId="0" fontId="2" fillId="32" borderId="17" xfId="0" applyFont="1" applyFill="1" applyBorder="1" applyAlignment="1">
      <alignment horizontal="left"/>
    </xf>
    <xf numFmtId="0" fontId="0" fillId="32" borderId="37" xfId="0" applyFont="1" applyFill="1" applyBorder="1" applyAlignment="1">
      <alignment horizontal="left" vertical="top" wrapText="1"/>
    </xf>
    <xf numFmtId="0" fontId="0" fillId="32" borderId="38" xfId="0" applyFont="1" applyFill="1" applyBorder="1" applyAlignment="1">
      <alignment horizontal="left" vertical="top" wrapText="1"/>
    </xf>
    <xf numFmtId="0" fontId="0" fillId="32" borderId="0" xfId="0" applyFont="1" applyFill="1" applyBorder="1" applyAlignment="1">
      <alignment horizontal="left" vertical="top" wrapText="1"/>
    </xf>
    <xf numFmtId="0" fontId="0" fillId="32" borderId="40" xfId="0" applyFont="1" applyFill="1" applyBorder="1" applyAlignment="1">
      <alignment horizontal="left" vertical="top" wrapText="1"/>
    </xf>
    <xf numFmtId="0" fontId="0" fillId="32" borderId="41" xfId="0" applyFont="1" applyFill="1" applyBorder="1" applyAlignment="1">
      <alignment horizontal="left" vertical="top" wrapText="1"/>
    </xf>
    <xf numFmtId="0" fontId="0" fillId="32" borderId="18" xfId="0" applyFont="1" applyFill="1" applyBorder="1" applyAlignment="1">
      <alignment horizontal="left" vertical="top" wrapText="1"/>
    </xf>
    <xf numFmtId="0" fontId="0" fillId="32" borderId="42" xfId="0" applyFont="1" applyFill="1" applyBorder="1" applyAlignment="1">
      <alignment horizontal="left" vertical="top" wrapText="1"/>
    </xf>
    <xf numFmtId="0" fontId="0" fillId="36" borderId="37" xfId="0" applyFont="1" applyFill="1" applyBorder="1" applyAlignment="1">
      <alignment horizontal="left" vertical="top" wrapText="1"/>
    </xf>
    <xf numFmtId="0" fontId="0" fillId="36" borderId="38"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6" borderId="41"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42" xfId="0" applyFont="1" applyFill="1" applyBorder="1" applyAlignment="1">
      <alignment horizontal="left" vertical="top" wrapText="1"/>
    </xf>
    <xf numFmtId="0" fontId="0" fillId="32" borderId="36" xfId="0" applyFont="1" applyFill="1" applyBorder="1" applyAlignment="1">
      <alignment horizontal="left" vertical="top" wrapText="1"/>
    </xf>
    <xf numFmtId="0" fontId="2" fillId="32" borderId="17" xfId="0" applyFont="1" applyFill="1" applyBorder="1" applyAlignment="1">
      <alignment horizontal="center"/>
    </xf>
    <xf numFmtId="0" fontId="0" fillId="32" borderId="33" xfId="0" applyFont="1" applyFill="1" applyBorder="1" applyAlignment="1">
      <alignment horizontal="right"/>
    </xf>
    <xf numFmtId="0" fontId="0" fillId="32" borderId="35" xfId="0" applyFont="1" applyFill="1" applyBorder="1" applyAlignment="1">
      <alignment horizontal="right"/>
    </xf>
    <xf numFmtId="0" fontId="13" fillId="32" borderId="36" xfId="0" applyFont="1" applyFill="1" applyBorder="1" applyAlignment="1">
      <alignment horizontal="left" vertical="top" wrapText="1"/>
    </xf>
    <xf numFmtId="0" fontId="9" fillId="32" borderId="37" xfId="0" applyFont="1" applyFill="1" applyBorder="1" applyAlignment="1">
      <alignment horizontal="left" vertical="top" wrapText="1"/>
    </xf>
    <xf numFmtId="0" fontId="9" fillId="32" borderId="38" xfId="0" applyFont="1" applyFill="1" applyBorder="1" applyAlignment="1">
      <alignment horizontal="left" vertical="top" wrapText="1"/>
    </xf>
    <xf numFmtId="0" fontId="9" fillId="32" borderId="39" xfId="0" applyFont="1" applyFill="1" applyBorder="1" applyAlignment="1">
      <alignment horizontal="left" vertical="top" wrapText="1"/>
    </xf>
    <xf numFmtId="0" fontId="9" fillId="32" borderId="0" xfId="0" applyFont="1" applyFill="1" applyBorder="1" applyAlignment="1">
      <alignment horizontal="left" vertical="top" wrapText="1"/>
    </xf>
    <xf numFmtId="0" fontId="9" fillId="32" borderId="40" xfId="0" applyFont="1" applyFill="1" applyBorder="1" applyAlignment="1">
      <alignment horizontal="left" vertical="top" wrapText="1"/>
    </xf>
    <xf numFmtId="0" fontId="9" fillId="32" borderId="41" xfId="0" applyFont="1" applyFill="1" applyBorder="1" applyAlignment="1">
      <alignment horizontal="left" vertical="top" wrapText="1"/>
    </xf>
    <xf numFmtId="0" fontId="9" fillId="32" borderId="18" xfId="0" applyFont="1" applyFill="1" applyBorder="1" applyAlignment="1">
      <alignment horizontal="left" vertical="top" wrapText="1"/>
    </xf>
    <xf numFmtId="0" fontId="9" fillId="32" borderId="42" xfId="0" applyFont="1" applyFill="1" applyBorder="1" applyAlignment="1">
      <alignment horizontal="left" vertical="top" wrapText="1"/>
    </xf>
    <xf numFmtId="0" fontId="0" fillId="32" borderId="33" xfId="0" applyFill="1" applyBorder="1" applyAlignment="1">
      <alignment horizontal="right"/>
    </xf>
    <xf numFmtId="0" fontId="0" fillId="32" borderId="35" xfId="0" applyFill="1" applyBorder="1" applyAlignment="1">
      <alignment horizontal="right"/>
    </xf>
    <xf numFmtId="0" fontId="12" fillId="32" borderId="33" xfId="0" applyFont="1" applyFill="1" applyBorder="1" applyAlignment="1">
      <alignment horizontal="right"/>
    </xf>
    <xf numFmtId="0" fontId="12" fillId="32" borderId="35" xfId="0" applyFont="1" applyFill="1" applyBorder="1" applyAlignment="1">
      <alignment horizontal="right"/>
    </xf>
    <xf numFmtId="0" fontId="0" fillId="36" borderId="37" xfId="0" applyFont="1" applyFill="1" applyBorder="1" applyAlignment="1">
      <alignment horizontal="left" vertical="top" wrapText="1"/>
    </xf>
    <xf numFmtId="0" fontId="0" fillId="36" borderId="38"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6" borderId="41"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42" xfId="0" applyFont="1" applyFill="1" applyBorder="1" applyAlignment="1">
      <alignment horizontal="left" vertical="top" wrapText="1"/>
    </xf>
    <xf numFmtId="0" fontId="0" fillId="32" borderId="0" xfId="0" applyFill="1" applyAlignment="1">
      <alignment/>
    </xf>
    <xf numFmtId="0" fontId="0" fillId="36" borderId="36" xfId="0" applyFill="1" applyBorder="1" applyAlignment="1">
      <alignment horizontal="left" vertical="top" wrapText="1"/>
    </xf>
    <xf numFmtId="0" fontId="0" fillId="37" borderId="17" xfId="0" applyFont="1" applyFill="1" applyBorder="1" applyAlignment="1">
      <alignment horizontal="center"/>
    </xf>
    <xf numFmtId="0" fontId="13" fillId="32" borderId="37" xfId="0" applyFont="1" applyFill="1" applyBorder="1" applyAlignment="1">
      <alignment horizontal="left" vertical="top" wrapText="1"/>
    </xf>
    <xf numFmtId="0" fontId="13" fillId="32" borderId="38" xfId="0" applyFont="1" applyFill="1" applyBorder="1" applyAlignment="1">
      <alignment horizontal="left" vertical="top" wrapText="1"/>
    </xf>
    <xf numFmtId="0" fontId="13" fillId="32" borderId="39"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40" xfId="0" applyFont="1" applyFill="1" applyBorder="1" applyAlignment="1">
      <alignment horizontal="left" vertical="top" wrapText="1"/>
    </xf>
    <xf numFmtId="0" fontId="13" fillId="32" borderId="41" xfId="0" applyFont="1" applyFill="1" applyBorder="1" applyAlignment="1">
      <alignment horizontal="left" vertical="top" wrapText="1"/>
    </xf>
    <xf numFmtId="0" fontId="13" fillId="32" borderId="18" xfId="0" applyFont="1" applyFill="1" applyBorder="1" applyAlignment="1">
      <alignment horizontal="left" vertical="top" wrapText="1"/>
    </xf>
    <xf numFmtId="0" fontId="13" fillId="32" borderId="42" xfId="0" applyFont="1" applyFill="1" applyBorder="1" applyAlignment="1">
      <alignment horizontal="left" vertical="top" wrapText="1"/>
    </xf>
    <xf numFmtId="0" fontId="16" fillId="33" borderId="0" xfId="53"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color indexed="17"/>
      </font>
      <fill>
        <patternFill>
          <bgColor indexed="9"/>
        </patternFill>
      </fill>
    </dxf>
    <dxf>
      <font>
        <color indexed="10"/>
      </font>
      <fill>
        <patternFill patternType="none">
          <bgColor indexed="65"/>
        </patternFill>
      </fill>
    </dxf>
    <dxf>
      <font>
        <color indexed="9"/>
      </font>
      <fill>
        <patternFill>
          <bgColor indexed="9"/>
        </patternFill>
      </fill>
    </dxf>
    <dxf>
      <font>
        <color indexed="9"/>
      </font>
      <fill>
        <patternFill patternType="none">
          <bgColor indexed="65"/>
        </patternFill>
      </fill>
    </dxf>
    <dxf>
      <font>
        <color indexed="17"/>
      </font>
    </dxf>
    <dxf>
      <font>
        <color indexed="10"/>
      </font>
    </dxf>
    <dxf>
      <font>
        <color indexed="17"/>
      </font>
      <fill>
        <patternFill>
          <bgColor indexed="9"/>
        </patternFill>
      </fill>
    </dxf>
    <dxf>
      <font>
        <color indexed="10"/>
      </font>
      <fill>
        <patternFill patternType="none">
          <bgColor indexed="65"/>
        </patternFill>
      </fill>
    </dxf>
    <dxf>
      <font>
        <color indexed="9"/>
      </font>
      <fill>
        <patternFill>
          <bgColor indexed="9"/>
        </patternFill>
      </fill>
    </dxf>
    <dxf>
      <font>
        <color indexed="9"/>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7"/>
      </font>
      <fill>
        <patternFill>
          <bgColor indexed="9"/>
        </patternFill>
      </fill>
    </dxf>
    <dxf>
      <font>
        <color indexed="10"/>
      </font>
      <fill>
        <patternFill patternType="none">
          <bgColor indexed="65"/>
        </patternFill>
      </fill>
    </dxf>
    <dxf>
      <font>
        <color indexed="9"/>
      </font>
      <fill>
        <patternFill>
          <bgColor indexed="9"/>
        </patternFill>
      </fill>
    </dxf>
    <dxf>
      <font>
        <color indexed="9"/>
      </font>
      <fill>
        <patternFill patternType="none">
          <bgColor indexed="65"/>
        </patternFill>
      </fill>
    </dxf>
    <dxf>
      <font>
        <color indexed="17"/>
      </font>
    </dxf>
    <dxf>
      <font>
        <color indexed="10"/>
      </font>
    </dxf>
    <dxf>
      <font>
        <color indexed="17"/>
      </font>
      <fill>
        <patternFill>
          <bgColor indexed="9"/>
        </patternFill>
      </fill>
    </dxf>
    <dxf>
      <font>
        <color indexed="10"/>
      </font>
      <fill>
        <patternFill patternType="none">
          <bgColor indexed="65"/>
        </patternFill>
      </fill>
    </dxf>
    <dxf>
      <font>
        <color indexed="9"/>
      </font>
      <fill>
        <patternFill>
          <bgColor indexed="9"/>
        </patternFill>
      </fill>
    </dxf>
    <dxf>
      <font>
        <color indexed="9"/>
      </font>
      <fill>
        <patternFill patternType="none">
          <bgColor indexed="65"/>
        </patternFill>
      </fill>
    </dxf>
    <dxf>
      <font>
        <color indexed="17"/>
      </font>
    </dxf>
    <dxf>
      <font>
        <color indexed="10"/>
      </font>
    </dxf>
    <dxf>
      <font>
        <color indexed="10"/>
      </font>
    </dxf>
    <dxf>
      <font>
        <color indexed="17"/>
      </font>
    </dxf>
    <dxf>
      <font>
        <color indexed="10"/>
      </font>
    </dxf>
    <dxf>
      <font>
        <color indexed="17"/>
      </font>
    </dxf>
    <dxf>
      <font>
        <color indexed="10"/>
      </font>
    </dxf>
    <dxf>
      <font>
        <color indexed="17"/>
      </font>
    </dxf>
    <dxf>
      <font>
        <color indexed="17"/>
      </font>
      <fill>
        <patternFill patternType="none">
          <fgColor indexed="64"/>
          <bgColor indexed="65"/>
        </patternFill>
      </fill>
      <border>
        <left style="thin"/>
        <right style="thin"/>
        <top style="thin"/>
        <bottom style="thin"/>
      </border>
    </dxf>
    <dxf>
      <font>
        <color indexed="10"/>
      </font>
      <fill>
        <patternFill patternType="none">
          <fgColor indexed="64"/>
          <bgColor indexed="65"/>
        </patternFill>
      </fill>
      <border>
        <left style="thin"/>
        <right style="thin"/>
        <top style="thin"/>
        <bottom style="thin"/>
      </border>
    </dxf>
    <dxf>
      <font>
        <color rgb="FFFF0000"/>
      </font>
      <fill>
        <patternFill patternType="none">
          <fgColor indexed="64"/>
          <bgColor indexed="65"/>
        </patternFill>
      </fill>
      <border>
        <left style="thin">
          <color rgb="FF000000"/>
        </left>
        <right style="thin">
          <color rgb="FF000000"/>
        </right>
        <top style="thin"/>
        <bottom style="thin">
          <color rgb="FF000000"/>
        </bottom>
      </border>
    </dxf>
    <dxf>
      <font>
        <color rgb="FF008000"/>
      </font>
      <fill>
        <patternFill patternType="none">
          <fgColor indexed="64"/>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7"/>
          <c:w val="0.92925"/>
          <c:h val="0.98725"/>
        </c:manualLayout>
      </c:layout>
      <c:areaChart>
        <c:grouping val="stacked"/>
        <c:varyColors val="0"/>
        <c:ser>
          <c:idx val="2"/>
          <c:order val="2"/>
          <c:tx>
            <c:strRef>
              <c:f>'Main Datasheet'!$H$3</c:f>
              <c:strCache>
                <c:ptCount val="1"/>
                <c:pt idx="0">
                  <c:v>Poor performance threshold</c:v>
                </c:pt>
              </c:strCache>
            </c:strRef>
          </c:tx>
          <c:spPr>
            <a:solidFill>
              <a:srgbClr val="969696"/>
            </a:solidFill>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val>
            <c:numRef>
              <c:f>[0]!In2Threshold</c:f>
              <c:numCache>
                <c:ptCount val="12"/>
                <c:pt idx="0">
                  <c:v>5</c:v>
                </c:pt>
                <c:pt idx="1">
                  <c:v>5</c:v>
                </c:pt>
                <c:pt idx="2">
                  <c:v>5</c:v>
                </c:pt>
                <c:pt idx="3">
                  <c:v>5</c:v>
                </c:pt>
                <c:pt idx="4">
                  <c:v>5</c:v>
                </c:pt>
                <c:pt idx="5">
                  <c:v>5</c:v>
                </c:pt>
                <c:pt idx="6">
                  <c:v>5</c:v>
                </c:pt>
                <c:pt idx="7">
                  <c:v>5</c:v>
                </c:pt>
                <c:pt idx="8">
                  <c:v>5</c:v>
                </c:pt>
                <c:pt idx="9">
                  <c:v>5</c:v>
                </c:pt>
                <c:pt idx="10">
                  <c:v>5</c:v>
                </c:pt>
                <c:pt idx="11">
                  <c:v>5</c:v>
                </c:pt>
              </c:numCache>
            </c:numRef>
          </c:val>
        </c:ser>
        <c:axId val="4996020"/>
        <c:axId val="44964181"/>
      </c:areaChart>
      <c:lineChart>
        <c:grouping val="standard"/>
        <c:varyColors val="0"/>
        <c:ser>
          <c:idx val="0"/>
          <c:order val="0"/>
          <c:tx>
            <c:strRef>
              <c:f>'Main Datasheet'!$D$3</c:f>
              <c:strCache>
                <c:ptCount val="1"/>
                <c:pt idx="0">
                  <c:v>Rate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[0]!In2Rate</c:f>
              <c:numCache>
                <c:ptCount val="12"/>
                <c:pt idx="0">
                  <c:v>0.03</c:v>
                </c:pt>
                <c:pt idx="1">
                  <c:v>0.03</c:v>
                </c:pt>
                <c:pt idx="2">
                  <c:v>0.03</c:v>
                </c:pt>
                <c:pt idx="3">
                  <c:v>0.06</c:v>
                </c:pt>
                <c:pt idx="4">
                  <c:v>0</c:v>
                </c:pt>
                <c:pt idx="5">
                  <c:v>0</c:v>
                </c:pt>
                <c:pt idx="6">
                  <c:v>0</c:v>
                </c:pt>
                <c:pt idx="7">
                  <c:v>0</c:v>
                </c:pt>
                <c:pt idx="8">
                  <c:v>0.0007698229407236335</c:v>
                </c:pt>
                <c:pt idx="9">
                  <c:v>0.0278164116828929</c:v>
                </c:pt>
                <c:pt idx="10">
                  <c:v>0.06</c:v>
                </c:pt>
                <c:pt idx="11">
                  <c:v>0</c:v>
                </c:pt>
              </c:numCache>
            </c:numRef>
          </c:val>
          <c:smooth val="0"/>
        </c:ser>
        <c:ser>
          <c:idx val="1"/>
          <c:order val="1"/>
          <c:tx>
            <c:strRef>
              <c:f>'Main Datasheet'!$E$3</c:f>
              <c:strCache>
                <c:ptCount val="1"/>
                <c:pt idx="0">
                  <c:v>Rate over last 25 months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[0]!In2Rate25</c:f>
              <c:numCache>
                <c:ptCount val="12"/>
                <c:pt idx="0">
                  <c:v>0.04971791143638763</c:v>
                </c:pt>
                <c:pt idx="1">
                  <c:v>0.05087175759023378</c:v>
                </c:pt>
                <c:pt idx="2">
                  <c:v>0.04884170155355524</c:v>
                </c:pt>
                <c:pt idx="3">
                  <c:v>0.05114939386124755</c:v>
                </c:pt>
                <c:pt idx="4">
                  <c:v>0.05114939386124755</c:v>
                </c:pt>
                <c:pt idx="5">
                  <c:v>0.05114939386124755</c:v>
                </c:pt>
                <c:pt idx="6">
                  <c:v>0.05114939386124755</c:v>
                </c:pt>
                <c:pt idx="7">
                  <c:v>0.04807000727505552</c:v>
                </c:pt>
                <c:pt idx="8">
                  <c:v>0.04523362937715488</c:v>
                </c:pt>
                <c:pt idx="9">
                  <c:v>0.043243703102306234</c:v>
                </c:pt>
                <c:pt idx="10">
                  <c:v>0.04366925503996974</c:v>
                </c:pt>
                <c:pt idx="11">
                  <c:v>0.03870263075516363</c:v>
                </c:pt>
              </c:numCache>
            </c:numRef>
          </c:val>
          <c:smooth val="0"/>
        </c:ser>
        <c:marker val="1"/>
        <c:axId val="2024446"/>
        <c:axId val="18220015"/>
      </c:lineChart>
      <c:catAx>
        <c:axId val="202444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220015"/>
        <c:crosses val="autoZero"/>
        <c:auto val="1"/>
        <c:lblOffset val="100"/>
        <c:tickLblSkip val="1"/>
        <c:noMultiLvlLbl val="0"/>
      </c:catAx>
      <c:valAx>
        <c:axId val="1822001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 (%)</a:t>
                </a:r>
              </a:p>
            </c:rich>
          </c:tx>
          <c:layout>
            <c:manualLayout>
              <c:xMode val="factor"/>
              <c:yMode val="factor"/>
              <c:x val="-0.00175"/>
              <c:y val="-0.009"/>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024446"/>
        <c:crossesAt val="1"/>
        <c:crossBetween val="between"/>
        <c:dispUnits/>
      </c:valAx>
      <c:catAx>
        <c:axId val="4996020"/>
        <c:scaling>
          <c:orientation val="minMax"/>
        </c:scaling>
        <c:axPos val="b"/>
        <c:delete val="1"/>
        <c:majorTickMark val="out"/>
        <c:minorTickMark val="none"/>
        <c:tickLblPos val="nextTo"/>
        <c:crossAx val="44964181"/>
        <c:crosses val="max"/>
        <c:auto val="1"/>
        <c:lblOffset val="100"/>
        <c:tickLblSkip val="1"/>
        <c:noMultiLvlLbl val="0"/>
      </c:catAx>
      <c:valAx>
        <c:axId val="44964181"/>
        <c:scaling>
          <c:orientation val="minMax"/>
        </c:scaling>
        <c:axPos val="l"/>
        <c:delete val="1"/>
        <c:majorTickMark val="out"/>
        <c:minorTickMark val="none"/>
        <c:tickLblPos val="nextTo"/>
        <c:crossAx val="4996020"/>
        <c:crosses val="max"/>
        <c:crossBetween val="between"/>
        <c:dispUnits/>
      </c:valAx>
      <c:spPr>
        <a:solidFill>
          <a:srgbClr val="FFFFFF"/>
        </a:solidFill>
        <a:ln w="12700">
          <a:solidFill>
            <a:srgbClr val="000000"/>
          </a:solidFill>
        </a:ln>
      </c:spPr>
    </c:plotArea>
    <c:legend>
      <c:legendPos val="r"/>
      <c:layout>
        <c:manualLayout>
          <c:xMode val="edge"/>
          <c:yMode val="edge"/>
          <c:x val="0.298"/>
          <c:y val="0.00825"/>
          <c:w val="0.702"/>
          <c:h val="0.06275"/>
        </c:manualLayout>
      </c:layout>
      <c:overlay val="0"/>
      <c:spPr>
        <a:solidFill>
          <a:srgbClr val="FFFFFF"/>
        </a:solidFill>
        <a:ln w="3175">
          <a:solidFill>
            <a:srgbClr val="000000"/>
          </a:solidFill>
        </a:ln>
      </c:spPr>
      <c:txPr>
        <a:bodyPr vert="horz" rot="0"/>
        <a:lstStyle/>
        <a:p>
          <a:pPr>
            <a:defRPr lang="en-US" cap="none" sz="2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1525"/>
          <c:w val="0.9155"/>
          <c:h val="0.853"/>
        </c:manualLayout>
      </c:layout>
      <c:lineChart>
        <c:grouping val="standard"/>
        <c:varyColors val="0"/>
        <c:ser>
          <c:idx val="0"/>
          <c:order val="0"/>
          <c:tx>
            <c:strRef>
              <c:f>'Main Datasheet'!$I$3</c:f>
              <c:strCache>
                <c:ptCount val="1"/>
                <c:pt idx="0">
                  <c:v>Median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[0]!In3Median</c:f>
              <c:numCache>
                <c:ptCount val="12"/>
                <c:pt idx="0">
                  <c:v>100</c:v>
                </c:pt>
                <c:pt idx="1">
                  <c:v>101</c:v>
                </c:pt>
                <c:pt idx="2">
                  <c:v>94</c:v>
                </c:pt>
                <c:pt idx="3">
                  <c:v>97</c:v>
                </c:pt>
                <c:pt idx="4">
                  <c:v>86</c:v>
                </c:pt>
                <c:pt idx="5">
                  <c:v>89</c:v>
                </c:pt>
                <c:pt idx="6">
                  <c:v>87</c:v>
                </c:pt>
                <c:pt idx="7">
                  <c:v>94</c:v>
                </c:pt>
                <c:pt idx="8">
                  <c:v>91</c:v>
                </c:pt>
                <c:pt idx="9">
                  <c:v>88</c:v>
                </c:pt>
                <c:pt idx="10">
                  <c:v>85</c:v>
                </c:pt>
                <c:pt idx="11">
                  <c:v>69</c:v>
                </c:pt>
              </c:numCache>
            </c:numRef>
          </c:val>
          <c:smooth val="0"/>
        </c:ser>
        <c:ser>
          <c:idx val="1"/>
          <c:order val="1"/>
          <c:tx>
            <c:strRef>
              <c:f>'Main Datasheet'!$J$3</c:f>
              <c:strCache>
                <c:ptCount val="1"/>
                <c:pt idx="0">
                  <c:v>95th Percentile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[0]!In395th</c:f>
              <c:numCache>
                <c:ptCount val="12"/>
                <c:pt idx="0">
                  <c:v>226</c:v>
                </c:pt>
                <c:pt idx="1">
                  <c:v>211</c:v>
                </c:pt>
                <c:pt idx="2">
                  <c:v>218</c:v>
                </c:pt>
                <c:pt idx="3">
                  <c:v>224</c:v>
                </c:pt>
                <c:pt idx="4">
                  <c:v>212</c:v>
                </c:pt>
                <c:pt idx="5">
                  <c:v>204</c:v>
                </c:pt>
                <c:pt idx="6">
                  <c:v>218</c:v>
                </c:pt>
                <c:pt idx="7">
                  <c:v>236</c:v>
                </c:pt>
                <c:pt idx="8">
                  <c:v>238</c:v>
                </c:pt>
                <c:pt idx="9">
                  <c:v>222</c:v>
                </c:pt>
                <c:pt idx="10">
                  <c:v>212</c:v>
                </c:pt>
                <c:pt idx="11">
                  <c:v>194</c:v>
                </c:pt>
              </c:numCache>
            </c:numRef>
          </c:val>
          <c:smooth val="0"/>
        </c:ser>
        <c:ser>
          <c:idx val="2"/>
          <c:order val="2"/>
          <c:tx>
            <c:strRef>
              <c:f>'Main Datasheet'!$K$3</c:f>
              <c:strCache>
                <c:ptCount val="1"/>
                <c:pt idx="0">
                  <c:v>Longest Wait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[0]!In3Longest</c:f>
              <c:numCache>
                <c:ptCount val="12"/>
                <c:pt idx="0">
                  <c:v>352</c:v>
                </c:pt>
                <c:pt idx="1">
                  <c:v>386</c:v>
                </c:pt>
                <c:pt idx="2">
                  <c:v>432</c:v>
                </c:pt>
                <c:pt idx="3">
                  <c:v>357</c:v>
                </c:pt>
                <c:pt idx="4">
                  <c:v>448</c:v>
                </c:pt>
                <c:pt idx="5">
                  <c:v>355</c:v>
                </c:pt>
                <c:pt idx="6">
                  <c:v>349</c:v>
                </c:pt>
                <c:pt idx="7">
                  <c:v>500</c:v>
                </c:pt>
                <c:pt idx="8">
                  <c:v>442</c:v>
                </c:pt>
                <c:pt idx="9">
                  <c:v>418</c:v>
                </c:pt>
                <c:pt idx="10">
                  <c:v>476</c:v>
                </c:pt>
                <c:pt idx="11">
                  <c:v>397</c:v>
                </c:pt>
              </c:numCache>
            </c:numRef>
          </c:val>
          <c:smooth val="0"/>
        </c:ser>
        <c:marker val="1"/>
        <c:axId val="29762408"/>
        <c:axId val="66535081"/>
      </c:lineChart>
      <c:catAx>
        <c:axId val="2976240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66535081"/>
        <c:crosses val="autoZero"/>
        <c:auto val="1"/>
        <c:lblOffset val="100"/>
        <c:tickLblSkip val="1"/>
        <c:noMultiLvlLbl val="0"/>
      </c:catAx>
      <c:valAx>
        <c:axId val="665350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Time (Minutes)</a:t>
                </a:r>
              </a:p>
            </c:rich>
          </c:tx>
          <c:layout>
            <c:manualLayout>
              <c:xMode val="factor"/>
              <c:yMode val="factor"/>
              <c:x val="-0.0092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9762408"/>
        <c:crossesAt val="1"/>
        <c:crossBetween val="between"/>
        <c:dispUnits/>
      </c:valAx>
      <c:spPr>
        <a:solidFill>
          <a:srgbClr val="FFFFFF"/>
        </a:solidFill>
        <a:ln w="12700">
          <a:solidFill>
            <a:srgbClr val="000000"/>
          </a:solidFill>
        </a:ln>
      </c:spPr>
    </c:plotArea>
    <c:legend>
      <c:legendPos val="r"/>
      <c:layout>
        <c:manualLayout>
          <c:xMode val="edge"/>
          <c:yMode val="edge"/>
          <c:x val="0.27025"/>
          <c:y val="0.03175"/>
          <c:w val="0.5625"/>
          <c:h val="0.067"/>
        </c:manualLayout>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1525"/>
          <c:w val="0.916"/>
          <c:h val="0.853"/>
        </c:manualLayout>
      </c:layout>
      <c:areaChart>
        <c:grouping val="stacked"/>
        <c:varyColors val="0"/>
        <c:ser>
          <c:idx val="1"/>
          <c:order val="1"/>
          <c:tx>
            <c:strRef>
              <c:f>'Main Datasheet'!$N$3</c:f>
              <c:strCache>
                <c:ptCount val="1"/>
                <c:pt idx="0">
                  <c:v>Poor Performance Threshold</c:v>
                </c:pt>
              </c:strCache>
            </c:strRef>
          </c:tx>
          <c:spPr>
            <a:solidFill>
              <a:srgbClr val="969696"/>
            </a:solidFill>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val>
            <c:numRef>
              <c:f>[0]!In3Threshold</c:f>
              <c:numCache>
                <c:ptCount val="12"/>
                <c:pt idx="0">
                  <c:v>240</c:v>
                </c:pt>
                <c:pt idx="1">
                  <c:v>240</c:v>
                </c:pt>
                <c:pt idx="2">
                  <c:v>240</c:v>
                </c:pt>
                <c:pt idx="3">
                  <c:v>240</c:v>
                </c:pt>
                <c:pt idx="4">
                  <c:v>240</c:v>
                </c:pt>
                <c:pt idx="5">
                  <c:v>240</c:v>
                </c:pt>
                <c:pt idx="6">
                  <c:v>240</c:v>
                </c:pt>
                <c:pt idx="7">
                  <c:v>240</c:v>
                </c:pt>
                <c:pt idx="8">
                  <c:v>240</c:v>
                </c:pt>
                <c:pt idx="9">
                  <c:v>240</c:v>
                </c:pt>
                <c:pt idx="10">
                  <c:v>240</c:v>
                </c:pt>
                <c:pt idx="11">
                  <c:v>240</c:v>
                </c:pt>
              </c:numCache>
            </c:numRef>
          </c:val>
        </c:ser>
        <c:axId val="61944818"/>
        <c:axId val="20632451"/>
      </c:areaChart>
      <c:lineChart>
        <c:grouping val="standard"/>
        <c:varyColors val="0"/>
        <c:ser>
          <c:idx val="0"/>
          <c:order val="0"/>
          <c:tx>
            <c:strRef>
              <c:f>'Main Datasheet'!$J$3</c:f>
              <c:strCache>
                <c:ptCount val="1"/>
                <c:pt idx="0">
                  <c:v>95th Percentile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[0]!In395th</c:f>
              <c:numCache>
                <c:ptCount val="12"/>
                <c:pt idx="0">
                  <c:v>226</c:v>
                </c:pt>
                <c:pt idx="1">
                  <c:v>211</c:v>
                </c:pt>
                <c:pt idx="2">
                  <c:v>218</c:v>
                </c:pt>
                <c:pt idx="3">
                  <c:v>224</c:v>
                </c:pt>
                <c:pt idx="4">
                  <c:v>212</c:v>
                </c:pt>
                <c:pt idx="5">
                  <c:v>204</c:v>
                </c:pt>
                <c:pt idx="6">
                  <c:v>218</c:v>
                </c:pt>
                <c:pt idx="7">
                  <c:v>236</c:v>
                </c:pt>
                <c:pt idx="8">
                  <c:v>238</c:v>
                </c:pt>
                <c:pt idx="9">
                  <c:v>222</c:v>
                </c:pt>
                <c:pt idx="10">
                  <c:v>212</c:v>
                </c:pt>
                <c:pt idx="11">
                  <c:v>194</c:v>
                </c:pt>
              </c:numCache>
            </c:numRef>
          </c:val>
          <c:smooth val="0"/>
        </c:ser>
        <c:marker val="1"/>
        <c:axId val="51474332"/>
        <c:axId val="60615805"/>
      </c:lineChart>
      <c:catAx>
        <c:axId val="5147433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615805"/>
        <c:crosses val="autoZero"/>
        <c:auto val="1"/>
        <c:lblOffset val="100"/>
        <c:tickLblSkip val="1"/>
        <c:noMultiLvlLbl val="0"/>
      </c:catAx>
      <c:valAx>
        <c:axId val="606158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Time (Minutes)</a:t>
                </a:r>
              </a:p>
            </c:rich>
          </c:tx>
          <c:layout>
            <c:manualLayout>
              <c:xMode val="factor"/>
              <c:yMode val="factor"/>
              <c:x val="-0.009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1474332"/>
        <c:crossesAt val="1"/>
        <c:crossBetween val="between"/>
        <c:dispUnits/>
      </c:valAx>
      <c:catAx>
        <c:axId val="61944818"/>
        <c:scaling>
          <c:orientation val="minMax"/>
        </c:scaling>
        <c:axPos val="b"/>
        <c:delete val="1"/>
        <c:majorTickMark val="out"/>
        <c:minorTickMark val="none"/>
        <c:tickLblPos val="nextTo"/>
        <c:crossAx val="20632451"/>
        <c:crosses val="max"/>
        <c:auto val="1"/>
        <c:lblOffset val="100"/>
        <c:tickLblSkip val="1"/>
        <c:noMultiLvlLbl val="0"/>
      </c:catAx>
      <c:valAx>
        <c:axId val="20632451"/>
        <c:scaling>
          <c:orientation val="minMax"/>
        </c:scaling>
        <c:axPos val="l"/>
        <c:delete val="1"/>
        <c:majorTickMark val="out"/>
        <c:minorTickMark val="none"/>
        <c:tickLblPos val="nextTo"/>
        <c:crossAx val="61944818"/>
        <c:crosses val="max"/>
        <c:crossBetween val="between"/>
        <c:dispUnits/>
      </c:valAx>
      <c:spPr>
        <a:solidFill>
          <a:srgbClr val="FFFFFF"/>
        </a:solidFill>
        <a:ln w="12700">
          <a:solidFill>
            <a:srgbClr val="000000"/>
          </a:solidFill>
        </a:ln>
      </c:spPr>
    </c:plotArea>
    <c:legend>
      <c:legendPos val="r"/>
      <c:layout>
        <c:manualLayout>
          <c:xMode val="edge"/>
          <c:yMode val="edge"/>
          <c:x val="0.2565"/>
          <c:y val="0.03175"/>
          <c:w val="0.57375"/>
          <c:h val="0.067"/>
        </c:manualLayout>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10225"/>
          <c:w val="0.92425"/>
          <c:h val="0.972"/>
        </c:manualLayout>
      </c:layout>
      <c:areaChart>
        <c:grouping val="stacked"/>
        <c:varyColors val="0"/>
        <c:ser>
          <c:idx val="2"/>
          <c:order val="2"/>
          <c:tx>
            <c:strRef>
              <c:f>'Main Datasheet'!$S$3</c:f>
              <c:strCache>
                <c:ptCount val="1"/>
                <c:pt idx="0">
                  <c:v>Poor Performance Threshold</c:v>
                </c:pt>
              </c:strCache>
            </c:strRef>
          </c:tx>
          <c:spPr>
            <a:solidFill>
              <a:srgbClr val="969696"/>
            </a:solidFill>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val>
            <c:numRef>
              <c:f>[0]!In4Threshold</c:f>
              <c:numCache>
                <c:ptCount val="12"/>
                <c:pt idx="0">
                  <c:v>5</c:v>
                </c:pt>
                <c:pt idx="1">
                  <c:v>5</c:v>
                </c:pt>
                <c:pt idx="2">
                  <c:v>5</c:v>
                </c:pt>
                <c:pt idx="3">
                  <c:v>5</c:v>
                </c:pt>
                <c:pt idx="4">
                  <c:v>5</c:v>
                </c:pt>
                <c:pt idx="5">
                  <c:v>5</c:v>
                </c:pt>
                <c:pt idx="6">
                  <c:v>5</c:v>
                </c:pt>
                <c:pt idx="7">
                  <c:v>5</c:v>
                </c:pt>
                <c:pt idx="8">
                  <c:v>5</c:v>
                </c:pt>
                <c:pt idx="9">
                  <c:v>5</c:v>
                </c:pt>
                <c:pt idx="10">
                  <c:v>5</c:v>
                </c:pt>
                <c:pt idx="11">
                  <c:v>5</c:v>
                </c:pt>
              </c:numCache>
            </c:numRef>
          </c:val>
        </c:ser>
        <c:axId val="8671334"/>
        <c:axId val="10933143"/>
      </c:areaChart>
      <c:lineChart>
        <c:grouping val="standard"/>
        <c:varyColors val="0"/>
        <c:ser>
          <c:idx val="0"/>
          <c:order val="0"/>
          <c:tx>
            <c:strRef>
              <c:f>'Main Datasheet'!$O$3</c:f>
              <c:strCache>
                <c:ptCount val="1"/>
                <c:pt idx="0">
                  <c:v>Rate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[0]!In4Rate</c:f>
              <c:numCache>
                <c:ptCount val="12"/>
                <c:pt idx="0">
                  <c:v>0.06</c:v>
                </c:pt>
                <c:pt idx="1">
                  <c:v>0.12</c:v>
                </c:pt>
                <c:pt idx="2">
                  <c:v>0.09</c:v>
                </c:pt>
                <c:pt idx="3">
                  <c:v>0.06</c:v>
                </c:pt>
                <c:pt idx="4">
                  <c:v>0.0894187779433681</c:v>
                </c:pt>
                <c:pt idx="5">
                  <c:v>0</c:v>
                </c:pt>
                <c:pt idx="6">
                  <c:v>0.0810591731964334</c:v>
                </c:pt>
                <c:pt idx="7">
                  <c:v>0.0206</c:v>
                </c:pt>
                <c:pt idx="8">
                  <c:v>0.0256607646907878</c:v>
                </c:pt>
                <c:pt idx="9">
                  <c:v>0.0556328233657858</c:v>
                </c:pt>
                <c:pt idx="10">
                  <c:v>0.28</c:v>
                </c:pt>
                <c:pt idx="11">
                  <c:v>0.158919348430671</c:v>
                </c:pt>
              </c:numCache>
            </c:numRef>
          </c:val>
          <c:smooth val="0"/>
        </c:ser>
        <c:ser>
          <c:idx val="1"/>
          <c:order val="1"/>
          <c:tx>
            <c:strRef>
              <c:f>'Main Datasheet'!$P$3</c:f>
              <c:strCache>
                <c:ptCount val="1"/>
                <c:pt idx="0">
                  <c:v>Average rate over last 25 months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[0]!In4Rate25</c:f>
              <c:numCache>
                <c:ptCount val="12"/>
                <c:pt idx="0">
                  <c:v>0.050268961030141335</c:v>
                </c:pt>
                <c:pt idx="1">
                  <c:v>0.04876476912022149</c:v>
                </c:pt>
                <c:pt idx="2">
                  <c:v>0.05222630758175995</c:v>
                </c:pt>
                <c:pt idx="3">
                  <c:v>0.05453399988945226</c:v>
                </c:pt>
                <c:pt idx="4">
                  <c:v>0.05797318365650488</c:v>
                </c:pt>
                <c:pt idx="5">
                  <c:v>0.05797318365650488</c:v>
                </c:pt>
                <c:pt idx="6">
                  <c:v>0.05811394490233103</c:v>
                </c:pt>
                <c:pt idx="7">
                  <c:v>0.05582686600844669</c:v>
                </c:pt>
                <c:pt idx="8">
                  <c:v>0.04821585907892237</c:v>
                </c:pt>
                <c:pt idx="9">
                  <c:v>0.04729579479187729</c:v>
                </c:pt>
                <c:pt idx="10">
                  <c:v>0.05335967463603605</c:v>
                </c:pt>
                <c:pt idx="11">
                  <c:v>0.058478632411023725</c:v>
                </c:pt>
              </c:numCache>
            </c:numRef>
          </c:val>
          <c:smooth val="0"/>
        </c:ser>
        <c:marker val="1"/>
        <c:axId val="31289424"/>
        <c:axId val="13169361"/>
      </c:lineChart>
      <c:catAx>
        <c:axId val="3128942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3169361"/>
        <c:crosses val="autoZero"/>
        <c:auto val="1"/>
        <c:lblOffset val="100"/>
        <c:tickLblSkip val="1"/>
        <c:noMultiLvlLbl val="0"/>
      </c:catAx>
      <c:valAx>
        <c:axId val="131693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 (%)</a:t>
                </a:r>
              </a:p>
            </c:rich>
          </c:tx>
          <c:layout>
            <c:manualLayout>
              <c:xMode val="factor"/>
              <c:yMode val="factor"/>
              <c:x val="-0.00175"/>
              <c:y val="-0.006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1289424"/>
        <c:crossesAt val="1"/>
        <c:crossBetween val="between"/>
        <c:dispUnits/>
      </c:valAx>
      <c:catAx>
        <c:axId val="8671334"/>
        <c:scaling>
          <c:orientation val="minMax"/>
        </c:scaling>
        <c:axPos val="b"/>
        <c:delete val="1"/>
        <c:majorTickMark val="out"/>
        <c:minorTickMark val="none"/>
        <c:tickLblPos val="nextTo"/>
        <c:crossAx val="10933143"/>
        <c:crosses val="max"/>
        <c:auto val="1"/>
        <c:lblOffset val="100"/>
        <c:tickLblSkip val="1"/>
        <c:noMultiLvlLbl val="0"/>
      </c:catAx>
      <c:valAx>
        <c:axId val="10933143"/>
        <c:scaling>
          <c:orientation val="minMax"/>
        </c:scaling>
        <c:axPos val="l"/>
        <c:delete val="1"/>
        <c:majorTickMark val="out"/>
        <c:minorTickMark val="none"/>
        <c:tickLblPos val="nextTo"/>
        <c:crossAx val="8671334"/>
        <c:crosses val="max"/>
        <c:crossBetween val="between"/>
        <c:dispUnits/>
      </c:valAx>
      <c:spPr>
        <a:solidFill>
          <a:srgbClr val="FFFFFF"/>
        </a:solidFill>
        <a:ln w="12700">
          <a:solidFill>
            <a:srgbClr val="808080"/>
          </a:solidFill>
        </a:ln>
      </c:spPr>
    </c:plotArea>
    <c:legend>
      <c:legendPos val="r"/>
      <c:layout>
        <c:manualLayout>
          <c:xMode val="edge"/>
          <c:yMode val="edge"/>
          <c:x val="0.1415"/>
          <c:y val="0.00825"/>
          <c:w val="0.78375"/>
          <c:h val="0.06275"/>
        </c:manualLayout>
      </c:layout>
      <c:overlay val="0"/>
      <c:spPr>
        <a:solidFill>
          <a:srgbClr val="FFFFFF"/>
        </a:solidFill>
        <a:ln w="3175">
          <a:solidFill>
            <a:srgbClr val="000000"/>
          </a:solidFill>
        </a:ln>
      </c:spPr>
      <c:txPr>
        <a:bodyPr vert="horz" rot="0"/>
        <a:lstStyle/>
        <a:p>
          <a:pPr>
            <a:defRPr lang="en-US" cap="none" sz="2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12725"/>
          <c:w val="0.91025"/>
          <c:h val="0.83675"/>
        </c:manualLayout>
      </c:layout>
      <c:lineChart>
        <c:grouping val="standard"/>
        <c:varyColors val="0"/>
        <c:ser>
          <c:idx val="0"/>
          <c:order val="0"/>
          <c:tx>
            <c:strRef>
              <c:f>'Main Datasheet'!$T$3</c:f>
              <c:strCache>
                <c:ptCount val="1"/>
                <c:pt idx="0">
                  <c:v>Median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[0]!In7Median</c:f>
              <c:numCache>
                <c:ptCount val="12"/>
                <c:pt idx="0">
                  <c:v>8</c:v>
                </c:pt>
                <c:pt idx="1">
                  <c:v>8</c:v>
                </c:pt>
                <c:pt idx="2">
                  <c:v>7</c:v>
                </c:pt>
                <c:pt idx="3">
                  <c:v>8</c:v>
                </c:pt>
                <c:pt idx="4">
                  <c:v>7</c:v>
                </c:pt>
                <c:pt idx="5">
                  <c:v>7</c:v>
                </c:pt>
                <c:pt idx="6">
                  <c:v>7</c:v>
                </c:pt>
                <c:pt idx="7">
                  <c:v>13</c:v>
                </c:pt>
                <c:pt idx="8">
                  <c:v>9</c:v>
                </c:pt>
                <c:pt idx="9">
                  <c:v>8</c:v>
                </c:pt>
                <c:pt idx="10">
                  <c:v>8</c:v>
                </c:pt>
                <c:pt idx="11">
                  <c:v>8</c:v>
                </c:pt>
              </c:numCache>
            </c:numRef>
          </c:val>
          <c:smooth val="0"/>
        </c:ser>
        <c:ser>
          <c:idx val="1"/>
          <c:order val="1"/>
          <c:tx>
            <c:strRef>
              <c:f>'Main Datasheet'!$U$3</c:f>
              <c:strCache>
                <c:ptCount val="1"/>
                <c:pt idx="0">
                  <c:v>95th Percentile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[0]!In795th</c:f>
              <c:numCache>
                <c:ptCount val="12"/>
                <c:pt idx="0">
                  <c:v>28</c:v>
                </c:pt>
                <c:pt idx="1">
                  <c:v>21</c:v>
                </c:pt>
                <c:pt idx="2">
                  <c:v>22</c:v>
                </c:pt>
                <c:pt idx="3">
                  <c:v>25</c:v>
                </c:pt>
                <c:pt idx="4">
                  <c:v>17</c:v>
                </c:pt>
                <c:pt idx="5">
                  <c:v>16</c:v>
                </c:pt>
                <c:pt idx="6">
                  <c:v>18</c:v>
                </c:pt>
                <c:pt idx="7">
                  <c:v>23</c:v>
                </c:pt>
                <c:pt idx="8">
                  <c:v>25</c:v>
                </c:pt>
                <c:pt idx="9">
                  <c:v>21</c:v>
                </c:pt>
                <c:pt idx="10">
                  <c:v>20</c:v>
                </c:pt>
                <c:pt idx="11">
                  <c:v>22</c:v>
                </c:pt>
              </c:numCache>
            </c:numRef>
          </c:val>
          <c:smooth val="0"/>
        </c:ser>
        <c:ser>
          <c:idx val="2"/>
          <c:order val="2"/>
          <c:tx>
            <c:strRef>
              <c:f>'Main Datasheet'!$V$3</c:f>
              <c:strCache>
                <c:ptCount val="1"/>
                <c:pt idx="0">
                  <c:v>Longest Wait</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[0]!In7Longest</c:f>
              <c:numCache>
                <c:ptCount val="12"/>
                <c:pt idx="0">
                  <c:v>80</c:v>
                </c:pt>
                <c:pt idx="1">
                  <c:v>43</c:v>
                </c:pt>
                <c:pt idx="2">
                  <c:v>66</c:v>
                </c:pt>
                <c:pt idx="3">
                  <c:v>67</c:v>
                </c:pt>
                <c:pt idx="4">
                  <c:v>51</c:v>
                </c:pt>
                <c:pt idx="5">
                  <c:v>34</c:v>
                </c:pt>
                <c:pt idx="6">
                  <c:v>48</c:v>
                </c:pt>
                <c:pt idx="7">
                  <c:v>202</c:v>
                </c:pt>
                <c:pt idx="8">
                  <c:v>73</c:v>
                </c:pt>
                <c:pt idx="9">
                  <c:v>57</c:v>
                </c:pt>
                <c:pt idx="10">
                  <c:v>107</c:v>
                </c:pt>
                <c:pt idx="11">
                  <c:v>45</c:v>
                </c:pt>
              </c:numCache>
            </c:numRef>
          </c:val>
          <c:smooth val="0"/>
        </c:ser>
        <c:marker val="1"/>
        <c:axId val="51415386"/>
        <c:axId val="60085291"/>
      </c:lineChart>
      <c:catAx>
        <c:axId val="5141538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50" b="0" i="0" u="none" baseline="0">
                <a:solidFill>
                  <a:srgbClr val="000000"/>
                </a:solidFill>
                <a:latin typeface="Arial"/>
                <a:ea typeface="Arial"/>
                <a:cs typeface="Arial"/>
              </a:defRPr>
            </a:pPr>
          </a:p>
        </c:txPr>
        <c:crossAx val="60085291"/>
        <c:crosses val="autoZero"/>
        <c:auto val="1"/>
        <c:lblOffset val="100"/>
        <c:tickLblSkip val="1"/>
        <c:noMultiLvlLbl val="0"/>
      </c:catAx>
      <c:valAx>
        <c:axId val="6008529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Time (minutes)</a:t>
                </a:r>
              </a:p>
            </c:rich>
          </c:tx>
          <c:layout>
            <c:manualLayout>
              <c:xMode val="factor"/>
              <c:yMode val="factor"/>
              <c:x val="-0.0095"/>
              <c:y val="0.00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1415386"/>
        <c:crossesAt val="1"/>
        <c:crossBetween val="between"/>
        <c:dispUnits/>
      </c:valAx>
      <c:spPr>
        <a:solidFill>
          <a:srgbClr val="FFFFFF"/>
        </a:solidFill>
        <a:ln w="12700">
          <a:solidFill>
            <a:srgbClr val="000000"/>
          </a:solidFill>
        </a:ln>
      </c:spPr>
    </c:plotArea>
    <c:legend>
      <c:legendPos val="r"/>
      <c:layout>
        <c:manualLayout>
          <c:xMode val="edge"/>
          <c:yMode val="edge"/>
          <c:x val="0.27725"/>
          <c:y val="0.0325"/>
          <c:w val="0.56475"/>
          <c:h val="0.076"/>
        </c:manualLayout>
      </c:layout>
      <c:overlay val="0"/>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131"/>
          <c:w val="0.917"/>
          <c:h val="0.833"/>
        </c:manualLayout>
      </c:layout>
      <c:areaChart>
        <c:grouping val="stacked"/>
        <c:varyColors val="0"/>
        <c:ser>
          <c:idx val="2"/>
          <c:order val="2"/>
          <c:tx>
            <c:strRef>
              <c:f>'Main Datasheet'!$Z$3</c:f>
              <c:strCache>
                <c:ptCount val="1"/>
                <c:pt idx="0">
                  <c:v>Poor Performance Threshold</c:v>
                </c:pt>
              </c:strCache>
            </c:strRef>
          </c:tx>
          <c:spPr>
            <a:solidFill>
              <a:srgbClr val="808080"/>
            </a:solidFill>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val>
            <c:numRef>
              <c:f>[0]!In7Threshold</c:f>
              <c:numCache>
                <c:ptCount val="12"/>
                <c:pt idx="0">
                  <c:v>60</c:v>
                </c:pt>
                <c:pt idx="1">
                  <c:v>60</c:v>
                </c:pt>
                <c:pt idx="2">
                  <c:v>60</c:v>
                </c:pt>
                <c:pt idx="3">
                  <c:v>60</c:v>
                </c:pt>
                <c:pt idx="4">
                  <c:v>60</c:v>
                </c:pt>
                <c:pt idx="5">
                  <c:v>60</c:v>
                </c:pt>
                <c:pt idx="6">
                  <c:v>60</c:v>
                </c:pt>
                <c:pt idx="7">
                  <c:v>60</c:v>
                </c:pt>
                <c:pt idx="8">
                  <c:v>60</c:v>
                </c:pt>
                <c:pt idx="9">
                  <c:v>60</c:v>
                </c:pt>
                <c:pt idx="10">
                  <c:v>60</c:v>
                </c:pt>
                <c:pt idx="11">
                  <c:v>60</c:v>
                </c:pt>
              </c:numCache>
            </c:numRef>
          </c:val>
        </c:ser>
        <c:axId val="3896708"/>
        <c:axId val="35070373"/>
      </c:areaChart>
      <c:lineChart>
        <c:grouping val="standard"/>
        <c:varyColors val="0"/>
        <c:ser>
          <c:idx val="0"/>
          <c:order val="0"/>
          <c:tx>
            <c:strRef>
              <c:f>'Main Datasheet'!$T$3</c:f>
              <c:strCache>
                <c:ptCount val="1"/>
                <c:pt idx="0">
                  <c:v>Median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[0]!Labels</c:f>
              <c:multiLvlStrCache>
                <c:ptCount val="12"/>
                <c:lvl>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lvl>
                <c:lvl>
                  <c:pt idx="0">
                    <c:v>2019</c:v>
                  </c:pt>
                  <c:pt idx="1">
                    <c:v>2019</c:v>
                  </c:pt>
                  <c:pt idx="2">
                    <c:v>2019</c:v>
                  </c:pt>
                  <c:pt idx="3">
                    <c:v>2019</c:v>
                  </c:pt>
                  <c:pt idx="4">
                    <c:v>2019</c:v>
                  </c:pt>
                  <c:pt idx="5">
                    <c:v>2019</c:v>
                  </c:pt>
                  <c:pt idx="6">
                    <c:v>2019</c:v>
                  </c:pt>
                  <c:pt idx="7">
                    <c:v>2019</c:v>
                  </c:pt>
                  <c:pt idx="8">
                    <c:v>2019</c:v>
                  </c:pt>
                  <c:pt idx="9">
                    <c:v>2020</c:v>
                  </c:pt>
                  <c:pt idx="10">
                    <c:v>2020</c:v>
                  </c:pt>
                  <c:pt idx="11">
                    <c:v>2020</c:v>
                  </c:pt>
                </c:lvl>
              </c:multiLvlStrCache>
            </c:multiLvlStrRef>
          </c:cat>
          <c:val>
            <c:numRef>
              <c:f>[0]!In7Median</c:f>
              <c:numCache>
                <c:ptCount val="12"/>
                <c:pt idx="0">
                  <c:v>8</c:v>
                </c:pt>
                <c:pt idx="1">
                  <c:v>8</c:v>
                </c:pt>
                <c:pt idx="2">
                  <c:v>7</c:v>
                </c:pt>
                <c:pt idx="3">
                  <c:v>8</c:v>
                </c:pt>
                <c:pt idx="4">
                  <c:v>7</c:v>
                </c:pt>
                <c:pt idx="5">
                  <c:v>7</c:v>
                </c:pt>
                <c:pt idx="6">
                  <c:v>7</c:v>
                </c:pt>
                <c:pt idx="7">
                  <c:v>13</c:v>
                </c:pt>
                <c:pt idx="8">
                  <c:v>9</c:v>
                </c:pt>
                <c:pt idx="9">
                  <c:v>8</c:v>
                </c:pt>
                <c:pt idx="10">
                  <c:v>8</c:v>
                </c:pt>
                <c:pt idx="11">
                  <c:v>8</c:v>
                </c:pt>
              </c:numCache>
            </c:numRef>
          </c:val>
          <c:smooth val="0"/>
        </c:ser>
        <c:ser>
          <c:idx val="1"/>
          <c:order val="1"/>
          <c:tx>
            <c:strRef>
              <c:f>'Main Datasheet'!$W$3</c:f>
              <c:strCache>
                <c:ptCount val="1"/>
                <c:pt idx="0">
                  <c:v>Median over last 25 months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[0]!In7Median25</c:f>
              <c:numCache>
                <c:ptCount val="12"/>
                <c:pt idx="0">
                  <c:v>8</c:v>
                </c:pt>
                <c:pt idx="1">
                  <c:v>8</c:v>
                </c:pt>
                <c:pt idx="2">
                  <c:v>8</c:v>
                </c:pt>
                <c:pt idx="3">
                  <c:v>8</c:v>
                </c:pt>
                <c:pt idx="4">
                  <c:v>8</c:v>
                </c:pt>
                <c:pt idx="5">
                  <c:v>8</c:v>
                </c:pt>
                <c:pt idx="6">
                  <c:v>8</c:v>
                </c:pt>
                <c:pt idx="7">
                  <c:v>8</c:v>
                </c:pt>
                <c:pt idx="8">
                  <c:v>8</c:v>
                </c:pt>
                <c:pt idx="9">
                  <c:v>8</c:v>
                </c:pt>
                <c:pt idx="10">
                  <c:v>8</c:v>
                </c:pt>
                <c:pt idx="11">
                  <c:v>8</c:v>
                </c:pt>
              </c:numCache>
            </c:numRef>
          </c:val>
          <c:smooth val="0"/>
        </c:ser>
        <c:marker val="1"/>
        <c:axId val="47197902"/>
        <c:axId val="22127935"/>
      </c:lineChart>
      <c:catAx>
        <c:axId val="4719790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127935"/>
        <c:crosses val="autoZero"/>
        <c:auto val="1"/>
        <c:lblOffset val="100"/>
        <c:tickLblSkip val="1"/>
        <c:noMultiLvlLbl val="0"/>
      </c:catAx>
      <c:valAx>
        <c:axId val="221279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Time (Minutes)</a:t>
                </a:r>
              </a:p>
            </c:rich>
          </c:tx>
          <c:layout>
            <c:manualLayout>
              <c:xMode val="factor"/>
              <c:yMode val="factor"/>
              <c:x val="-0.006"/>
              <c:y val="0.00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7197902"/>
        <c:crossesAt val="1"/>
        <c:crossBetween val="between"/>
        <c:dispUnits/>
      </c:valAx>
      <c:catAx>
        <c:axId val="3896708"/>
        <c:scaling>
          <c:orientation val="minMax"/>
        </c:scaling>
        <c:axPos val="b"/>
        <c:delete val="1"/>
        <c:majorTickMark val="out"/>
        <c:minorTickMark val="none"/>
        <c:tickLblPos val="nextTo"/>
        <c:crossAx val="35070373"/>
        <c:crosses val="max"/>
        <c:auto val="1"/>
        <c:lblOffset val="100"/>
        <c:tickLblSkip val="1"/>
        <c:noMultiLvlLbl val="0"/>
      </c:catAx>
      <c:valAx>
        <c:axId val="35070373"/>
        <c:scaling>
          <c:orientation val="minMax"/>
        </c:scaling>
        <c:axPos val="l"/>
        <c:delete val="1"/>
        <c:majorTickMark val="out"/>
        <c:minorTickMark val="none"/>
        <c:tickLblPos val="nextTo"/>
        <c:crossAx val="3896708"/>
        <c:crosses val="max"/>
        <c:crossBetween val="between"/>
        <c:dispUnits/>
      </c:valAx>
      <c:spPr>
        <a:solidFill>
          <a:srgbClr val="FFFFFF"/>
        </a:solidFill>
        <a:ln w="12700">
          <a:solidFill>
            <a:srgbClr val="000000"/>
          </a:solidFill>
        </a:ln>
      </c:spPr>
    </c:plotArea>
    <c:legend>
      <c:legendPos val="r"/>
      <c:layout>
        <c:manualLayout>
          <c:xMode val="edge"/>
          <c:yMode val="edge"/>
          <c:x val="0.1495"/>
          <c:y val="0.03625"/>
          <c:w val="0.82675"/>
          <c:h val="0.07625"/>
        </c:manualLayout>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19</xdr:row>
      <xdr:rowOff>19050</xdr:rowOff>
    </xdr:from>
    <xdr:to>
      <xdr:col>2</xdr:col>
      <xdr:colOff>104775</xdr:colOff>
      <xdr:row>22</xdr:row>
      <xdr:rowOff>0</xdr:rowOff>
    </xdr:to>
    <xdr:pic>
      <xdr:nvPicPr>
        <xdr:cNvPr id="1" name="Picture 1" descr="MC900442060[1]"/>
        <xdr:cNvPicPr preferRelativeResize="1">
          <a:picLocks noChangeAspect="1"/>
        </xdr:cNvPicPr>
      </xdr:nvPicPr>
      <xdr:blipFill>
        <a:blip r:embed="rId1"/>
        <a:stretch>
          <a:fillRect/>
        </a:stretch>
      </xdr:blipFill>
      <xdr:spPr>
        <a:xfrm>
          <a:off x="304800" y="3000375"/>
          <a:ext cx="504825" cy="466725"/>
        </a:xfrm>
        <a:prstGeom prst="rect">
          <a:avLst/>
        </a:prstGeom>
        <a:noFill/>
        <a:ln w="9525" cmpd="sng">
          <a:noFill/>
        </a:ln>
      </xdr:spPr>
    </xdr:pic>
    <xdr:clientData/>
  </xdr:twoCellAnchor>
  <xdr:twoCellAnchor>
    <xdr:from>
      <xdr:col>1</xdr:col>
      <xdr:colOff>95250</xdr:colOff>
      <xdr:row>39</xdr:row>
      <xdr:rowOff>38100</xdr:rowOff>
    </xdr:from>
    <xdr:to>
      <xdr:col>2</xdr:col>
      <xdr:colOff>85725</xdr:colOff>
      <xdr:row>42</xdr:row>
      <xdr:rowOff>152400</xdr:rowOff>
    </xdr:to>
    <xdr:pic>
      <xdr:nvPicPr>
        <xdr:cNvPr id="2" name="Picture 2" descr="MC900442050[1]"/>
        <xdr:cNvPicPr preferRelativeResize="1">
          <a:picLocks noChangeAspect="1"/>
        </xdr:cNvPicPr>
      </xdr:nvPicPr>
      <xdr:blipFill>
        <a:blip r:embed="rId2"/>
        <a:stretch>
          <a:fillRect/>
        </a:stretch>
      </xdr:blipFill>
      <xdr:spPr>
        <a:xfrm>
          <a:off x="190500" y="6257925"/>
          <a:ext cx="600075" cy="600075"/>
        </a:xfrm>
        <a:prstGeom prst="rect">
          <a:avLst/>
        </a:prstGeom>
        <a:noFill/>
        <a:ln w="9525" cmpd="sng">
          <a:noFill/>
        </a:ln>
      </xdr:spPr>
    </xdr:pic>
    <xdr:clientData/>
  </xdr:twoCellAnchor>
  <xdr:twoCellAnchor>
    <xdr:from>
      <xdr:col>5</xdr:col>
      <xdr:colOff>552450</xdr:colOff>
      <xdr:row>37</xdr:row>
      <xdr:rowOff>0</xdr:rowOff>
    </xdr:from>
    <xdr:to>
      <xdr:col>11</xdr:col>
      <xdr:colOff>57150</xdr:colOff>
      <xdr:row>42</xdr:row>
      <xdr:rowOff>9525</xdr:rowOff>
    </xdr:to>
    <xdr:sp>
      <xdr:nvSpPr>
        <xdr:cNvPr id="3" name="AutoShape 7"/>
        <xdr:cNvSpPr>
          <a:spLocks/>
        </xdr:cNvSpPr>
      </xdr:nvSpPr>
      <xdr:spPr>
        <a:xfrm>
          <a:off x="3086100" y="5895975"/>
          <a:ext cx="3162300" cy="819150"/>
        </a:xfrm>
        <a:prstGeom prst="wedgeRoundRectCallou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of patients who completed FFT the would recommend the Walk in Centre.</a:t>
          </a:r>
        </a:p>
      </xdr:txBody>
    </xdr:sp>
    <xdr:clientData/>
  </xdr:twoCellAnchor>
  <xdr:twoCellAnchor>
    <xdr:from>
      <xdr:col>1</xdr:col>
      <xdr:colOff>314325</xdr:colOff>
      <xdr:row>24</xdr:row>
      <xdr:rowOff>104775</xdr:rowOff>
    </xdr:from>
    <xdr:to>
      <xdr:col>1</xdr:col>
      <xdr:colOff>314325</xdr:colOff>
      <xdr:row>32</xdr:row>
      <xdr:rowOff>104775</xdr:rowOff>
    </xdr:to>
    <xdr:sp>
      <xdr:nvSpPr>
        <xdr:cNvPr id="4" name="Line 9"/>
        <xdr:cNvSpPr>
          <a:spLocks/>
        </xdr:cNvSpPr>
      </xdr:nvSpPr>
      <xdr:spPr>
        <a:xfrm flipV="1">
          <a:off x="409575" y="3895725"/>
          <a:ext cx="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21</xdr:row>
      <xdr:rowOff>85725</xdr:rowOff>
    </xdr:from>
    <xdr:to>
      <xdr:col>13</xdr:col>
      <xdr:colOff>28575</xdr:colOff>
      <xdr:row>21</xdr:row>
      <xdr:rowOff>85725</xdr:rowOff>
    </xdr:to>
    <xdr:sp>
      <xdr:nvSpPr>
        <xdr:cNvPr id="5" name="Line 11"/>
        <xdr:cNvSpPr>
          <a:spLocks/>
        </xdr:cNvSpPr>
      </xdr:nvSpPr>
      <xdr:spPr>
        <a:xfrm>
          <a:off x="6210300" y="33909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21</xdr:row>
      <xdr:rowOff>85725</xdr:rowOff>
    </xdr:from>
    <xdr:to>
      <xdr:col>13</xdr:col>
      <xdr:colOff>28575</xdr:colOff>
      <xdr:row>25</xdr:row>
      <xdr:rowOff>142875</xdr:rowOff>
    </xdr:to>
    <xdr:sp>
      <xdr:nvSpPr>
        <xdr:cNvPr id="6" name="Line 12"/>
        <xdr:cNvSpPr>
          <a:spLocks/>
        </xdr:cNvSpPr>
      </xdr:nvSpPr>
      <xdr:spPr>
        <a:xfrm>
          <a:off x="7439025" y="339090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31</xdr:row>
      <xdr:rowOff>28575</xdr:rowOff>
    </xdr:from>
    <xdr:to>
      <xdr:col>13</xdr:col>
      <xdr:colOff>38100</xdr:colOff>
      <xdr:row>32</xdr:row>
      <xdr:rowOff>114300</xdr:rowOff>
    </xdr:to>
    <xdr:sp>
      <xdr:nvSpPr>
        <xdr:cNvPr id="7" name="Line 13"/>
        <xdr:cNvSpPr>
          <a:spLocks/>
        </xdr:cNvSpPr>
      </xdr:nvSpPr>
      <xdr:spPr>
        <a:xfrm>
          <a:off x="7448550" y="49530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32</xdr:row>
      <xdr:rowOff>114300</xdr:rowOff>
    </xdr:from>
    <xdr:to>
      <xdr:col>13</xdr:col>
      <xdr:colOff>38100</xdr:colOff>
      <xdr:row>32</xdr:row>
      <xdr:rowOff>114300</xdr:rowOff>
    </xdr:to>
    <xdr:sp>
      <xdr:nvSpPr>
        <xdr:cNvPr id="8" name="Line 14"/>
        <xdr:cNvSpPr>
          <a:spLocks/>
        </xdr:cNvSpPr>
      </xdr:nvSpPr>
      <xdr:spPr>
        <a:xfrm flipH="1">
          <a:off x="409575" y="5200650"/>
          <a:ext cx="7038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24</xdr:row>
      <xdr:rowOff>28575</xdr:rowOff>
    </xdr:from>
    <xdr:to>
      <xdr:col>3</xdr:col>
      <xdr:colOff>561975</xdr:colOff>
      <xdr:row>25</xdr:row>
      <xdr:rowOff>95250</xdr:rowOff>
    </xdr:to>
    <xdr:sp>
      <xdr:nvSpPr>
        <xdr:cNvPr id="9" name="Line 15"/>
        <xdr:cNvSpPr>
          <a:spLocks/>
        </xdr:cNvSpPr>
      </xdr:nvSpPr>
      <xdr:spPr>
        <a:xfrm>
          <a:off x="1876425" y="38195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21</xdr:row>
      <xdr:rowOff>123825</xdr:rowOff>
    </xdr:from>
    <xdr:to>
      <xdr:col>2</xdr:col>
      <xdr:colOff>561975</xdr:colOff>
      <xdr:row>21</xdr:row>
      <xdr:rowOff>123825</xdr:rowOff>
    </xdr:to>
    <xdr:sp>
      <xdr:nvSpPr>
        <xdr:cNvPr id="10" name="Line 16"/>
        <xdr:cNvSpPr>
          <a:spLocks/>
        </xdr:cNvSpPr>
      </xdr:nvSpPr>
      <xdr:spPr>
        <a:xfrm>
          <a:off x="790575" y="34290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21</xdr:row>
      <xdr:rowOff>95250</xdr:rowOff>
    </xdr:from>
    <xdr:to>
      <xdr:col>5</xdr:col>
      <xdr:colOff>561975</xdr:colOff>
      <xdr:row>21</xdr:row>
      <xdr:rowOff>95250</xdr:rowOff>
    </xdr:to>
    <xdr:sp>
      <xdr:nvSpPr>
        <xdr:cNvPr id="11" name="Line 17"/>
        <xdr:cNvSpPr>
          <a:spLocks/>
        </xdr:cNvSpPr>
      </xdr:nvSpPr>
      <xdr:spPr>
        <a:xfrm>
          <a:off x="2581275" y="34004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25</xdr:row>
      <xdr:rowOff>9525</xdr:rowOff>
    </xdr:from>
    <xdr:to>
      <xdr:col>10</xdr:col>
      <xdr:colOff>428625</xdr:colOff>
      <xdr:row>28</xdr:row>
      <xdr:rowOff>66675</xdr:rowOff>
    </xdr:to>
    <xdr:sp>
      <xdr:nvSpPr>
        <xdr:cNvPr id="12" name="AutoShape 18"/>
        <xdr:cNvSpPr>
          <a:spLocks/>
        </xdr:cNvSpPr>
      </xdr:nvSpPr>
      <xdr:spPr>
        <a:xfrm>
          <a:off x="3019425" y="3962400"/>
          <a:ext cx="2990850" cy="542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xdr:row>
      <xdr:rowOff>0</xdr:rowOff>
    </xdr:from>
    <xdr:ext cx="2438400" cy="6591300"/>
    <xdr:sp>
      <xdr:nvSpPr>
        <xdr:cNvPr id="13" name="Text Box 19"/>
        <xdr:cNvSpPr txBox="1">
          <a:spLocks noChangeArrowheads="1"/>
        </xdr:cNvSpPr>
      </xdr:nvSpPr>
      <xdr:spPr>
        <a:xfrm>
          <a:off x="9315450" y="257175"/>
          <a:ext cx="2438400" cy="6591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page shows a summary of waiting time performance in the Walk In Centre.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the text is shown in green the current month's performance meets or exceeds the threshold set by the Department of Health.
</a:t>
          </a:r>
          <a:r>
            <a:rPr lang="en-US" cap="none" sz="1000" b="0" i="0" u="none" baseline="0">
              <a:solidFill>
                <a:srgbClr val="000000"/>
              </a:solidFill>
              <a:latin typeface="Arial"/>
              <a:ea typeface="Arial"/>
              <a:cs typeface="Arial"/>
            </a:rPr>
            <a:t>Where the text is shown in red the performance threshold set by the Department of Health has not been met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more detailed data including historical trends please click on the title of each indicator (highlighted in dark blue).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help on the terminology used through out this document please refer to the glossary below</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11</xdr:col>
      <xdr:colOff>0</xdr:colOff>
      <xdr:row>26</xdr:row>
      <xdr:rowOff>19050</xdr:rowOff>
    </xdr:to>
    <xdr:graphicFrame>
      <xdr:nvGraphicFramePr>
        <xdr:cNvPr id="1" name="Chart 1"/>
        <xdr:cNvGraphicFramePr/>
      </xdr:nvGraphicFramePr>
      <xdr:xfrm>
        <a:off x="123825" y="457200"/>
        <a:ext cx="6096000" cy="3571875"/>
      </xdr:xfrm>
      <a:graphic>
        <a:graphicData uri="http://schemas.openxmlformats.org/drawingml/2006/chart">
          <c:chart xmlns:c="http://schemas.openxmlformats.org/drawingml/2006/chart" r:id="rId1"/>
        </a:graphicData>
      </a:graphic>
    </xdr:graphicFrame>
    <xdr:clientData/>
  </xdr:twoCellAnchor>
  <xdr:oneCellAnchor>
    <xdr:from>
      <xdr:col>12</xdr:col>
      <xdr:colOff>0</xdr:colOff>
      <xdr:row>9</xdr:row>
      <xdr:rowOff>0</xdr:rowOff>
    </xdr:from>
    <xdr:ext cx="1800225" cy="4448175"/>
    <xdr:sp>
      <xdr:nvSpPr>
        <xdr:cNvPr id="2" name="Text Box 2"/>
        <xdr:cNvSpPr txBox="1">
          <a:spLocks noChangeArrowheads="1"/>
        </xdr:cNvSpPr>
      </xdr:nvSpPr>
      <xdr:spPr>
        <a:xfrm>
          <a:off x="6315075" y="1257300"/>
          <a:ext cx="1800225" cy="44481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Patient's may re-attend a Walk in Centre for a variety of reasons, including incorrect initial diagnosis or poor initial treatment.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Our aim is to reduce the number of patient's making unplanned re-attendances to the Walk in Centre by ensuring high quality care in the first instance.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9</xdr:col>
      <xdr:colOff>9525</xdr:colOff>
      <xdr:row>23</xdr:row>
      <xdr:rowOff>0</xdr:rowOff>
    </xdr:to>
    <xdr:graphicFrame>
      <xdr:nvGraphicFramePr>
        <xdr:cNvPr id="1" name="Chart 1"/>
        <xdr:cNvGraphicFramePr/>
      </xdr:nvGraphicFramePr>
      <xdr:xfrm>
        <a:off x="114300" y="476250"/>
        <a:ext cx="4810125" cy="30765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18</xdr:col>
      <xdr:colOff>0</xdr:colOff>
      <xdr:row>23</xdr:row>
      <xdr:rowOff>0</xdr:rowOff>
    </xdr:to>
    <xdr:graphicFrame>
      <xdr:nvGraphicFramePr>
        <xdr:cNvPr id="2" name="Chart 2"/>
        <xdr:cNvGraphicFramePr/>
      </xdr:nvGraphicFramePr>
      <xdr:xfrm>
        <a:off x="5038725" y="476250"/>
        <a:ext cx="4800600" cy="3076575"/>
      </xdr:xfrm>
      <a:graphic>
        <a:graphicData uri="http://schemas.openxmlformats.org/drawingml/2006/chart">
          <c:chart xmlns:c="http://schemas.openxmlformats.org/drawingml/2006/chart" r:id="rId2"/>
        </a:graphicData>
      </a:graphic>
    </xdr:graphicFrame>
    <xdr:clientData/>
  </xdr:twoCellAnchor>
  <xdr:oneCellAnchor>
    <xdr:from>
      <xdr:col>19</xdr:col>
      <xdr:colOff>0</xdr:colOff>
      <xdr:row>9</xdr:row>
      <xdr:rowOff>0</xdr:rowOff>
    </xdr:from>
    <xdr:ext cx="1847850" cy="3467100"/>
    <xdr:sp>
      <xdr:nvSpPr>
        <xdr:cNvPr id="3" name="Text Box 3"/>
        <xdr:cNvSpPr txBox="1">
          <a:spLocks noChangeArrowheads="1"/>
        </xdr:cNvSpPr>
      </xdr:nvSpPr>
      <xdr:spPr>
        <a:xfrm>
          <a:off x="9906000" y="1285875"/>
          <a:ext cx="1847850" cy="3467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Longer lengths of stay in emergency departments are associated with poorer health outcomes and patient experiences.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aim is to continually improve the timeliness of patient care and ensure no patient has an excessive wait in the Walk in Centre.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10</xdr:col>
      <xdr:colOff>600075</xdr:colOff>
      <xdr:row>26</xdr:row>
      <xdr:rowOff>19050</xdr:rowOff>
    </xdr:to>
    <xdr:graphicFrame>
      <xdr:nvGraphicFramePr>
        <xdr:cNvPr id="1" name="Chart 1"/>
        <xdr:cNvGraphicFramePr/>
      </xdr:nvGraphicFramePr>
      <xdr:xfrm>
        <a:off x="85725" y="419100"/>
        <a:ext cx="6076950" cy="3571875"/>
      </xdr:xfrm>
      <a:graphic>
        <a:graphicData uri="http://schemas.openxmlformats.org/drawingml/2006/chart">
          <c:chart xmlns:c="http://schemas.openxmlformats.org/drawingml/2006/chart" r:id="rId1"/>
        </a:graphicData>
      </a:graphic>
    </xdr:graphicFrame>
    <xdr:clientData/>
  </xdr:twoCellAnchor>
  <xdr:oneCellAnchor>
    <xdr:from>
      <xdr:col>12</xdr:col>
      <xdr:colOff>19050</xdr:colOff>
      <xdr:row>9</xdr:row>
      <xdr:rowOff>19050</xdr:rowOff>
    </xdr:from>
    <xdr:ext cx="1752600" cy="4400550"/>
    <xdr:sp>
      <xdr:nvSpPr>
        <xdr:cNvPr id="2" name="Text Box 2"/>
        <xdr:cNvSpPr txBox="1">
          <a:spLocks noChangeArrowheads="1"/>
        </xdr:cNvSpPr>
      </xdr:nvSpPr>
      <xdr:spPr>
        <a:xfrm>
          <a:off x="6276975" y="1238250"/>
          <a:ext cx="1752600" cy="4400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Patients who choose to leave without being seen may be at greater clinical risk as they will not receive the care they require.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aim is to reduce the number of patients leaving without being seen thereby improving ensuring that patients needs are properly met.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9</xdr:col>
      <xdr:colOff>0</xdr:colOff>
      <xdr:row>20</xdr:row>
      <xdr:rowOff>0</xdr:rowOff>
    </xdr:to>
    <xdr:graphicFrame>
      <xdr:nvGraphicFramePr>
        <xdr:cNvPr id="1" name="Chart 1"/>
        <xdr:cNvGraphicFramePr/>
      </xdr:nvGraphicFramePr>
      <xdr:xfrm>
        <a:off x="76200" y="571500"/>
        <a:ext cx="4791075" cy="2714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3</xdr:row>
      <xdr:rowOff>47625</xdr:rowOff>
    </xdr:from>
    <xdr:to>
      <xdr:col>18</xdr:col>
      <xdr:colOff>19050</xdr:colOff>
      <xdr:row>20</xdr:row>
      <xdr:rowOff>0</xdr:rowOff>
    </xdr:to>
    <xdr:graphicFrame>
      <xdr:nvGraphicFramePr>
        <xdr:cNvPr id="2" name="Chart 3"/>
        <xdr:cNvGraphicFramePr/>
      </xdr:nvGraphicFramePr>
      <xdr:xfrm>
        <a:off x="4953000" y="581025"/>
        <a:ext cx="4867275" cy="2705100"/>
      </xdr:xfrm>
      <a:graphic>
        <a:graphicData uri="http://schemas.openxmlformats.org/drawingml/2006/chart">
          <c:chart xmlns:c="http://schemas.openxmlformats.org/drawingml/2006/chart" r:id="rId2"/>
        </a:graphicData>
      </a:graphic>
    </xdr:graphicFrame>
    <xdr:clientData/>
  </xdr:twoCellAnchor>
  <xdr:oneCellAnchor>
    <xdr:from>
      <xdr:col>19</xdr:col>
      <xdr:colOff>0</xdr:colOff>
      <xdr:row>8</xdr:row>
      <xdr:rowOff>9525</xdr:rowOff>
    </xdr:from>
    <xdr:ext cx="1857375" cy="2952750"/>
    <xdr:sp>
      <xdr:nvSpPr>
        <xdr:cNvPr id="3" name="Text Box 4"/>
        <xdr:cNvSpPr txBox="1">
          <a:spLocks noChangeArrowheads="1"/>
        </xdr:cNvSpPr>
      </xdr:nvSpPr>
      <xdr:spPr>
        <a:xfrm>
          <a:off x="9886950" y="1352550"/>
          <a:ext cx="1857375" cy="29527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indicator is a measure of the total time a patient spends in the Walk in Centre from arrival to being seen by a health professional to start their treatment.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aim is to reduce the clinical risk and patient discomfort associated with the amount of time the patient spends in the Walk in Centre before their treatment starts.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icalperformance@bridgewater.nhs.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U44"/>
  <sheetViews>
    <sheetView zoomScalePageLayoutView="0" workbookViewId="0" topLeftCell="A10">
      <selection activeCell="G30" sqref="G30"/>
    </sheetView>
  </sheetViews>
  <sheetFormatPr defaultColWidth="9.140625" defaultRowHeight="12.75"/>
  <cols>
    <col min="1" max="1" width="1.421875" style="1" customWidth="1"/>
    <col min="2" max="16" width="9.140625" style="1" customWidth="1"/>
    <col min="17" max="17" width="1.1484375" style="1" customWidth="1"/>
    <col min="18" max="16384" width="9.140625" style="1" customWidth="1"/>
  </cols>
  <sheetData>
    <row r="1" ht="4.5" customHeight="1" thickBot="1"/>
    <row r="2" spans="2:21" ht="15.75">
      <c r="B2" s="132" t="s">
        <v>0</v>
      </c>
      <c r="C2" s="133"/>
      <c r="D2" s="133"/>
      <c r="E2" s="133"/>
      <c r="F2" s="133"/>
      <c r="G2" s="133"/>
      <c r="H2" s="133"/>
      <c r="I2" s="133"/>
      <c r="J2" s="133"/>
      <c r="K2" s="2"/>
      <c r="L2" s="2"/>
      <c r="M2" s="2"/>
      <c r="N2" s="2"/>
      <c r="O2" s="2"/>
      <c r="P2" s="3"/>
      <c r="R2" s="129" t="s">
        <v>72</v>
      </c>
      <c r="S2" s="130"/>
      <c r="T2" s="130"/>
      <c r="U2" s="131"/>
    </row>
    <row r="3" spans="2:21" ht="12.75">
      <c r="B3" s="10"/>
      <c r="C3" s="5"/>
      <c r="D3" s="5"/>
      <c r="E3" s="5"/>
      <c r="F3" s="5"/>
      <c r="G3" s="5"/>
      <c r="H3" s="5"/>
      <c r="I3" s="5"/>
      <c r="J3" s="5"/>
      <c r="K3" s="5"/>
      <c r="L3" s="5"/>
      <c r="M3" s="5"/>
      <c r="N3" s="5"/>
      <c r="O3" s="5"/>
      <c r="P3" s="6"/>
      <c r="R3" s="140"/>
      <c r="S3" s="141"/>
      <c r="T3" s="141"/>
      <c r="U3" s="142"/>
    </row>
    <row r="4" spans="2:21" ht="12.75">
      <c r="B4" s="10" t="s">
        <v>1</v>
      </c>
      <c r="C4" s="5"/>
      <c r="D4" s="5"/>
      <c r="E4" s="5"/>
      <c r="F4" s="5"/>
      <c r="G4" s="5"/>
      <c r="H4" s="5"/>
      <c r="I4" s="5"/>
      <c r="J4" s="5"/>
      <c r="K4" s="5"/>
      <c r="L4" s="5"/>
      <c r="M4" s="5"/>
      <c r="N4" s="5"/>
      <c r="O4" s="5"/>
      <c r="P4" s="6"/>
      <c r="R4" s="143"/>
      <c r="S4" s="144"/>
      <c r="T4" s="144"/>
      <c r="U4" s="145"/>
    </row>
    <row r="5" spans="2:21" ht="12.75" customHeight="1">
      <c r="B5" s="134" t="s">
        <v>84</v>
      </c>
      <c r="C5" s="135"/>
      <c r="D5" s="135"/>
      <c r="E5" s="135"/>
      <c r="F5" s="135"/>
      <c r="G5" s="135"/>
      <c r="H5" s="135"/>
      <c r="I5" s="135"/>
      <c r="J5" s="135"/>
      <c r="K5" s="135"/>
      <c r="L5" s="135"/>
      <c r="M5" s="135"/>
      <c r="N5" s="135"/>
      <c r="O5" s="135"/>
      <c r="P5" s="136"/>
      <c r="R5" s="143"/>
      <c r="S5" s="144"/>
      <c r="T5" s="144"/>
      <c r="U5" s="145"/>
    </row>
    <row r="6" spans="2:21" ht="12.75">
      <c r="B6" s="137"/>
      <c r="C6" s="135"/>
      <c r="D6" s="135"/>
      <c r="E6" s="135"/>
      <c r="F6" s="135"/>
      <c r="G6" s="135"/>
      <c r="H6" s="135"/>
      <c r="I6" s="135"/>
      <c r="J6" s="135"/>
      <c r="K6" s="135"/>
      <c r="L6" s="135"/>
      <c r="M6" s="135"/>
      <c r="N6" s="135"/>
      <c r="O6" s="135"/>
      <c r="P6" s="136"/>
      <c r="R6" s="143"/>
      <c r="S6" s="144"/>
      <c r="T6" s="144"/>
      <c r="U6" s="145"/>
    </row>
    <row r="7" spans="2:21" ht="12.75">
      <c r="B7" s="137"/>
      <c r="C7" s="135"/>
      <c r="D7" s="135"/>
      <c r="E7" s="135"/>
      <c r="F7" s="135"/>
      <c r="G7" s="135"/>
      <c r="H7" s="135"/>
      <c r="I7" s="135"/>
      <c r="J7" s="135"/>
      <c r="K7" s="135"/>
      <c r="L7" s="135"/>
      <c r="M7" s="135"/>
      <c r="N7" s="135"/>
      <c r="O7" s="135"/>
      <c r="P7" s="136"/>
      <c r="R7" s="143"/>
      <c r="S7" s="144"/>
      <c r="T7" s="144"/>
      <c r="U7" s="145"/>
    </row>
    <row r="8" spans="2:21" ht="12.75">
      <c r="B8" s="137"/>
      <c r="C8" s="135"/>
      <c r="D8" s="135"/>
      <c r="E8" s="135"/>
      <c r="F8" s="135"/>
      <c r="G8" s="135"/>
      <c r="H8" s="135"/>
      <c r="I8" s="135"/>
      <c r="J8" s="135"/>
      <c r="K8" s="135"/>
      <c r="L8" s="135"/>
      <c r="M8" s="135"/>
      <c r="N8" s="135"/>
      <c r="O8" s="135"/>
      <c r="P8" s="136"/>
      <c r="R8" s="143"/>
      <c r="S8" s="144"/>
      <c r="T8" s="144"/>
      <c r="U8" s="145"/>
    </row>
    <row r="9" spans="2:21" ht="12.75">
      <c r="B9" s="10" t="s">
        <v>2</v>
      </c>
      <c r="C9" s="5"/>
      <c r="D9" s="5"/>
      <c r="E9" s="5"/>
      <c r="F9" s="5"/>
      <c r="G9" s="5"/>
      <c r="H9" s="5"/>
      <c r="I9" s="5"/>
      <c r="J9" s="5"/>
      <c r="K9" s="5"/>
      <c r="L9" s="5"/>
      <c r="M9" s="5"/>
      <c r="N9" s="5"/>
      <c r="O9" s="5"/>
      <c r="P9" s="6"/>
      <c r="R9" s="143"/>
      <c r="S9" s="144"/>
      <c r="T9" s="144"/>
      <c r="U9" s="145"/>
    </row>
    <row r="10" spans="2:21" ht="12.75">
      <c r="B10" s="138" t="s">
        <v>91</v>
      </c>
      <c r="C10" s="139"/>
      <c r="D10" s="139"/>
      <c r="E10" s="139"/>
      <c r="F10" s="139"/>
      <c r="G10" s="139"/>
      <c r="H10" s="120" t="s">
        <v>3</v>
      </c>
      <c r="I10" s="120"/>
      <c r="J10" s="120"/>
      <c r="K10" s="120"/>
      <c r="L10" s="120"/>
      <c r="M10" s="5"/>
      <c r="N10" s="5"/>
      <c r="O10" s="5"/>
      <c r="P10" s="6"/>
      <c r="R10" s="143"/>
      <c r="S10" s="144"/>
      <c r="T10" s="144"/>
      <c r="U10" s="145"/>
    </row>
    <row r="11" spans="2:21" ht="12.75">
      <c r="B11" s="121" t="s">
        <v>90</v>
      </c>
      <c r="C11" s="122"/>
      <c r="D11" s="122"/>
      <c r="E11" s="122"/>
      <c r="F11" s="122"/>
      <c r="G11" s="122"/>
      <c r="H11" s="120" t="s">
        <v>4</v>
      </c>
      <c r="I11" s="120"/>
      <c r="J11" s="120"/>
      <c r="K11" s="120"/>
      <c r="L11" s="120"/>
      <c r="M11" s="5"/>
      <c r="N11" s="5"/>
      <c r="O11" s="5"/>
      <c r="P11" s="6"/>
      <c r="R11" s="143"/>
      <c r="S11" s="144"/>
      <c r="T11" s="144"/>
      <c r="U11" s="145"/>
    </row>
    <row r="12" spans="2:21" ht="12.75">
      <c r="B12" s="146" t="s">
        <v>92</v>
      </c>
      <c r="C12" s="122"/>
      <c r="D12" s="122"/>
      <c r="E12" s="122"/>
      <c r="F12" s="122"/>
      <c r="G12" s="122"/>
      <c r="H12" s="120" t="s">
        <v>5</v>
      </c>
      <c r="I12" s="120"/>
      <c r="J12" s="120"/>
      <c r="K12" s="120"/>
      <c r="L12" s="120"/>
      <c r="M12" s="5"/>
      <c r="N12" s="5"/>
      <c r="O12" s="5"/>
      <c r="P12" s="6"/>
      <c r="R12" s="143"/>
      <c r="S12" s="144"/>
      <c r="T12" s="144"/>
      <c r="U12" s="145"/>
    </row>
    <row r="13" spans="2:21" ht="12.75">
      <c r="B13" s="147"/>
      <c r="C13" s="148"/>
      <c r="D13" s="148"/>
      <c r="E13" s="148"/>
      <c r="F13" s="148"/>
      <c r="G13" s="148"/>
      <c r="H13" s="120" t="s">
        <v>6</v>
      </c>
      <c r="I13" s="120"/>
      <c r="J13" s="120"/>
      <c r="K13" s="120"/>
      <c r="L13" s="120"/>
      <c r="M13" s="5"/>
      <c r="N13" s="5"/>
      <c r="O13" s="5"/>
      <c r="P13" s="6"/>
      <c r="R13" s="143"/>
      <c r="S13" s="144"/>
      <c r="T13" s="144"/>
      <c r="U13" s="145"/>
    </row>
    <row r="14" spans="2:21" ht="12.75">
      <c r="B14" s="126" t="s">
        <v>93</v>
      </c>
      <c r="C14" s="127"/>
      <c r="D14" s="127"/>
      <c r="E14" s="127"/>
      <c r="F14" s="127"/>
      <c r="G14" s="128"/>
      <c r="H14" s="120" t="s">
        <v>7</v>
      </c>
      <c r="I14" s="120"/>
      <c r="J14" s="120"/>
      <c r="K14" s="120"/>
      <c r="L14" s="120"/>
      <c r="M14" s="5"/>
      <c r="N14" s="5"/>
      <c r="O14" s="5"/>
      <c r="P14" s="6"/>
      <c r="R14" s="143"/>
      <c r="S14" s="144"/>
      <c r="T14" s="144"/>
      <c r="U14" s="145"/>
    </row>
    <row r="15" spans="2:21" ht="13.5" thickBot="1">
      <c r="B15" s="7"/>
      <c r="C15" s="8"/>
      <c r="D15" s="8"/>
      <c r="E15" s="8"/>
      <c r="F15" s="8"/>
      <c r="G15" s="8"/>
      <c r="H15" s="8"/>
      <c r="I15" s="8"/>
      <c r="J15" s="8"/>
      <c r="K15" s="8"/>
      <c r="L15" s="8"/>
      <c r="M15" s="8"/>
      <c r="N15" s="8"/>
      <c r="O15" s="8"/>
      <c r="P15" s="9"/>
      <c r="R15" s="143"/>
      <c r="S15" s="144"/>
      <c r="T15" s="144"/>
      <c r="U15" s="145"/>
    </row>
    <row r="16" spans="2:21" ht="6.75" customHeight="1" thickBot="1">
      <c r="B16" s="5"/>
      <c r="C16" s="5"/>
      <c r="D16" s="5"/>
      <c r="E16" s="5"/>
      <c r="F16" s="5"/>
      <c r="G16" s="5"/>
      <c r="H16" s="5"/>
      <c r="I16" s="5"/>
      <c r="J16" s="5"/>
      <c r="K16" s="5"/>
      <c r="L16" s="5"/>
      <c r="M16" s="5"/>
      <c r="N16" s="5"/>
      <c r="O16" s="5"/>
      <c r="P16" s="5"/>
      <c r="R16" s="143"/>
      <c r="S16" s="144"/>
      <c r="T16" s="144"/>
      <c r="U16" s="145"/>
    </row>
    <row r="17" spans="2:21" ht="15.75">
      <c r="B17" s="107" t="str">
        <f ca="1">"Summary of performance - "&amp;TEXT(INDIRECT(CONCATENATE("'Main Datasheet'!$C$"&amp;SUM(COUNTA('Main Datasheet'!C:C)+2))),"[$-809]mmmm yyy")</f>
        <v>Summary of performance - March 2020</v>
      </c>
      <c r="C17" s="108"/>
      <c r="D17" s="108"/>
      <c r="E17" s="108"/>
      <c r="F17" s="108"/>
      <c r="G17" s="108"/>
      <c r="H17" s="108"/>
      <c r="I17" s="108"/>
      <c r="J17" s="108"/>
      <c r="K17" s="108"/>
      <c r="L17" s="108"/>
      <c r="M17" s="108"/>
      <c r="N17" s="108"/>
      <c r="O17" s="108"/>
      <c r="P17" s="109"/>
      <c r="R17" s="143"/>
      <c r="S17" s="144"/>
      <c r="T17" s="144"/>
      <c r="U17" s="145"/>
    </row>
    <row r="18" spans="2:21" ht="12.75">
      <c r="B18" s="4"/>
      <c r="C18" s="5"/>
      <c r="D18" s="5"/>
      <c r="E18" s="5"/>
      <c r="F18" s="5"/>
      <c r="G18" s="5"/>
      <c r="H18" s="5"/>
      <c r="I18" s="5"/>
      <c r="J18" s="5"/>
      <c r="K18" s="5"/>
      <c r="L18" s="5"/>
      <c r="M18" s="5"/>
      <c r="N18" s="5"/>
      <c r="O18" s="5"/>
      <c r="P18" s="6"/>
      <c r="R18" s="143"/>
      <c r="S18" s="144"/>
      <c r="T18" s="144"/>
      <c r="U18" s="145"/>
    </row>
    <row r="19" spans="2:21" ht="12.75">
      <c r="B19" s="4"/>
      <c r="C19" s="5"/>
      <c r="D19" s="23">
        <f>IF('Summary DataSheet'!F6&gt;'Summary DataSheet'!D6,1,0)</f>
        <v>0</v>
      </c>
      <c r="E19" s="5"/>
      <c r="F19" s="5"/>
      <c r="G19" s="23">
        <f>IF('Summary DataSheet'!F4&gt;'Summary DataSheet'!D4,1,0)</f>
        <v>0</v>
      </c>
      <c r="H19" s="5"/>
      <c r="I19" s="5"/>
      <c r="J19" s="5"/>
      <c r="K19" s="5"/>
      <c r="L19" s="5"/>
      <c r="M19" s="5"/>
      <c r="N19" s="5"/>
      <c r="O19" s="5"/>
      <c r="P19" s="6"/>
      <c r="R19" s="143"/>
      <c r="S19" s="144"/>
      <c r="T19" s="144"/>
      <c r="U19" s="145"/>
    </row>
    <row r="20" spans="2:21" ht="12.75">
      <c r="B20" s="4"/>
      <c r="C20" s="5"/>
      <c r="D20" s="106" t="s">
        <v>9</v>
      </c>
      <c r="E20" s="106"/>
      <c r="F20" s="5"/>
      <c r="G20" s="106" t="s">
        <v>10</v>
      </c>
      <c r="H20" s="106"/>
      <c r="I20" s="106"/>
      <c r="J20" s="106"/>
      <c r="K20" s="106"/>
      <c r="L20" s="5"/>
      <c r="M20" s="5"/>
      <c r="N20" s="5"/>
      <c r="O20" s="5"/>
      <c r="P20" s="6"/>
      <c r="R20" s="143"/>
      <c r="S20" s="144"/>
      <c r="T20" s="144"/>
      <c r="U20" s="145"/>
    </row>
    <row r="21" spans="2:21" ht="12.75">
      <c r="B21" s="4"/>
      <c r="C21" s="5"/>
      <c r="D21" s="99" t="str">
        <f>CONCATENATE("On average patients waited "&amp;'Summary DataSheet'!F6&amp;" "&amp;'Summary DataSheet'!E6&amp;" from arrival to treatment")</f>
        <v>On average patients waited 8 minutes from arrival to treatment</v>
      </c>
      <c r="E21" s="100"/>
      <c r="F21" s="5"/>
      <c r="G21" s="111" t="str">
        <f>CONCATENATE("95% of patients waited under "&amp;'Summary DataSheet'!F4&amp;" "&amp;'Summary DataSheet'!E4&amp;" from arrival to departure")</f>
        <v>95% of patients waited under 194 minutes from arrival to departure</v>
      </c>
      <c r="H21" s="117"/>
      <c r="I21" s="117"/>
      <c r="J21" s="117"/>
      <c r="K21" s="112"/>
      <c r="L21" s="5"/>
      <c r="M21" s="5"/>
      <c r="N21" s="5"/>
      <c r="O21" s="5"/>
      <c r="P21" s="6"/>
      <c r="R21" s="143"/>
      <c r="S21" s="144"/>
      <c r="T21" s="144"/>
      <c r="U21" s="145"/>
    </row>
    <row r="22" spans="2:21" ht="12.75">
      <c r="B22" s="4"/>
      <c r="C22" s="5"/>
      <c r="D22" s="101"/>
      <c r="E22" s="102"/>
      <c r="F22" s="5"/>
      <c r="G22" s="113"/>
      <c r="H22" s="118"/>
      <c r="I22" s="118"/>
      <c r="J22" s="118"/>
      <c r="K22" s="114"/>
      <c r="L22" s="5"/>
      <c r="M22" s="5"/>
      <c r="N22" s="5"/>
      <c r="O22" s="5"/>
      <c r="P22" s="6"/>
      <c r="R22" s="143"/>
      <c r="S22" s="144"/>
      <c r="T22" s="144"/>
      <c r="U22" s="145"/>
    </row>
    <row r="23" spans="2:21" ht="12.75">
      <c r="B23" s="110" t="s">
        <v>8</v>
      </c>
      <c r="C23" s="5"/>
      <c r="D23" s="101"/>
      <c r="E23" s="102"/>
      <c r="F23" s="5"/>
      <c r="G23" s="113"/>
      <c r="H23" s="118"/>
      <c r="I23" s="118"/>
      <c r="J23" s="118"/>
      <c r="K23" s="114"/>
      <c r="L23" s="5"/>
      <c r="M23" s="5"/>
      <c r="N23" s="5"/>
      <c r="O23" s="5"/>
      <c r="P23" s="6"/>
      <c r="R23" s="143"/>
      <c r="S23" s="144"/>
      <c r="T23" s="144"/>
      <c r="U23" s="145"/>
    </row>
    <row r="24" spans="2:21" ht="12.75">
      <c r="B24" s="110"/>
      <c r="C24" s="5"/>
      <c r="D24" s="103"/>
      <c r="E24" s="104"/>
      <c r="F24" s="5"/>
      <c r="G24" s="115"/>
      <c r="H24" s="119"/>
      <c r="I24" s="119"/>
      <c r="J24" s="119"/>
      <c r="K24" s="116"/>
      <c r="L24" s="5"/>
      <c r="M24" s="5"/>
      <c r="N24" s="5"/>
      <c r="O24" s="5"/>
      <c r="P24" s="6"/>
      <c r="R24" s="143"/>
      <c r="S24" s="144"/>
      <c r="T24" s="144"/>
      <c r="U24" s="145"/>
    </row>
    <row r="25" spans="2:21" ht="12.75">
      <c r="B25" s="4"/>
      <c r="C25" s="5"/>
      <c r="D25" s="11"/>
      <c r="E25" s="11"/>
      <c r="F25" s="5"/>
      <c r="G25" s="11"/>
      <c r="H25" s="11"/>
      <c r="I25" s="11"/>
      <c r="J25" s="11"/>
      <c r="K25" s="11"/>
      <c r="L25" s="5"/>
      <c r="M25" s="5"/>
      <c r="N25" s="5"/>
      <c r="O25" s="5"/>
      <c r="P25" s="6"/>
      <c r="R25" s="143"/>
      <c r="S25" s="144"/>
      <c r="T25" s="144"/>
      <c r="U25" s="145"/>
    </row>
    <row r="26" spans="2:21" ht="12.75">
      <c r="B26" s="4"/>
      <c r="C26" s="23">
        <f>IF('Summary DataSheet'!F5&gt;'Summary DataSheet'!D5,1,0)</f>
        <v>0</v>
      </c>
      <c r="D26" s="11"/>
      <c r="E26" s="11"/>
      <c r="F26" s="5"/>
      <c r="G26" s="15" t="s">
        <v>16</v>
      </c>
      <c r="H26" s="11"/>
      <c r="I26" s="11"/>
      <c r="J26" s="11"/>
      <c r="K26" s="11"/>
      <c r="L26" s="5"/>
      <c r="M26" s="23">
        <f>IF('Summary DataSheet'!F3&gt;'Summary DataSheet'!D3,1,0)</f>
        <v>0</v>
      </c>
      <c r="N26" s="5"/>
      <c r="O26" s="5"/>
      <c r="P26" s="6"/>
      <c r="R26" s="143"/>
      <c r="S26" s="144"/>
      <c r="T26" s="144"/>
      <c r="U26" s="145"/>
    </row>
    <row r="27" spans="2:21" ht="12.75">
      <c r="B27" s="4"/>
      <c r="C27" s="106" t="s">
        <v>12</v>
      </c>
      <c r="D27" s="106"/>
      <c r="E27" s="106"/>
      <c r="F27" s="14"/>
      <c r="G27" s="40" t="s">
        <v>31</v>
      </c>
      <c r="H27" s="105" t="s">
        <v>15</v>
      </c>
      <c r="I27" s="105"/>
      <c r="J27" s="105"/>
      <c r="K27" s="105"/>
      <c r="L27" s="5"/>
      <c r="M27" s="106" t="s">
        <v>11</v>
      </c>
      <c r="N27" s="106"/>
      <c r="O27" s="5"/>
      <c r="P27" s="6"/>
      <c r="R27" s="143"/>
      <c r="S27" s="144"/>
      <c r="T27" s="144"/>
      <c r="U27" s="145"/>
    </row>
    <row r="28" spans="2:21" ht="12.75">
      <c r="B28" s="4"/>
      <c r="C28" s="111" t="str">
        <f>CONCATENATE("This month "&amp;'Summary DataSheet'!F5&amp;'Summary DataSheet'!E5&amp;" of patients left without being seen.")</f>
        <v>This month 0.16% of patients left without being seen.</v>
      </c>
      <c r="D28" s="117"/>
      <c r="E28" s="112"/>
      <c r="F28" s="13"/>
      <c r="G28" s="41" t="s">
        <v>31</v>
      </c>
      <c r="H28" s="105" t="s">
        <v>14</v>
      </c>
      <c r="I28" s="105"/>
      <c r="J28" s="105"/>
      <c r="K28" s="105"/>
      <c r="L28" s="5"/>
      <c r="M28" s="111" t="str">
        <f>CONCATENATE("This month "&amp;'Summary DataSheet'!F3&amp;'Summary DataSheet'!E3&amp;" of attendances were unplanned re-attendances.")</f>
        <v>This month 0% of attendances were unplanned re-attendances.</v>
      </c>
      <c r="N28" s="112"/>
      <c r="O28" s="5"/>
      <c r="P28" s="6"/>
      <c r="R28" s="143"/>
      <c r="S28" s="144"/>
      <c r="T28" s="144"/>
      <c r="U28" s="145"/>
    </row>
    <row r="29" spans="2:21" ht="12.75">
      <c r="B29" s="4"/>
      <c r="C29" s="113"/>
      <c r="D29" s="118"/>
      <c r="E29" s="114"/>
      <c r="F29" s="13"/>
      <c r="G29" s="5"/>
      <c r="H29" s="5"/>
      <c r="I29" s="5"/>
      <c r="J29" s="5"/>
      <c r="K29" s="5"/>
      <c r="L29" s="12"/>
      <c r="M29" s="113"/>
      <c r="N29" s="114"/>
      <c r="O29" s="5"/>
      <c r="P29" s="6"/>
      <c r="R29" s="143"/>
      <c r="S29" s="144"/>
      <c r="T29" s="144"/>
      <c r="U29" s="145"/>
    </row>
    <row r="30" spans="2:21" ht="12.75">
      <c r="B30" s="4"/>
      <c r="C30" s="113"/>
      <c r="D30" s="118"/>
      <c r="E30" s="114"/>
      <c r="F30" s="13"/>
      <c r="G30" s="5"/>
      <c r="H30" s="5"/>
      <c r="I30" s="5"/>
      <c r="J30" s="5"/>
      <c r="K30" s="5"/>
      <c r="L30" s="11"/>
      <c r="M30" s="113"/>
      <c r="N30" s="114"/>
      <c r="O30" s="5"/>
      <c r="P30" s="6"/>
      <c r="R30" s="143"/>
      <c r="S30" s="144"/>
      <c r="T30" s="144"/>
      <c r="U30" s="145"/>
    </row>
    <row r="31" spans="2:21" ht="12.75">
      <c r="B31" s="4"/>
      <c r="C31" s="115"/>
      <c r="D31" s="119"/>
      <c r="E31" s="116"/>
      <c r="F31" s="5"/>
      <c r="G31" s="5"/>
      <c r="H31" s="5"/>
      <c r="I31" s="5"/>
      <c r="J31" s="5"/>
      <c r="K31" s="5"/>
      <c r="L31" s="11"/>
      <c r="M31" s="115"/>
      <c r="N31" s="116"/>
      <c r="O31" s="5"/>
      <c r="P31" s="6"/>
      <c r="R31" s="143"/>
      <c r="S31" s="144"/>
      <c r="T31" s="144"/>
      <c r="U31" s="145"/>
    </row>
    <row r="32" spans="2:21" ht="12.75">
      <c r="B32" s="4"/>
      <c r="C32" s="5"/>
      <c r="D32" s="5"/>
      <c r="E32" s="5"/>
      <c r="F32" s="5"/>
      <c r="G32" s="5"/>
      <c r="H32" s="5"/>
      <c r="I32" s="5"/>
      <c r="J32" s="5"/>
      <c r="K32" s="5"/>
      <c r="L32" s="11"/>
      <c r="M32" s="11"/>
      <c r="N32" s="5"/>
      <c r="O32" s="5"/>
      <c r="P32" s="6"/>
      <c r="R32" s="143"/>
      <c r="S32" s="144"/>
      <c r="T32" s="144"/>
      <c r="U32" s="145"/>
    </row>
    <row r="33" spans="2:21" ht="12.75">
      <c r="B33" s="4"/>
      <c r="C33" s="5"/>
      <c r="D33" s="5"/>
      <c r="E33" s="5"/>
      <c r="F33" s="5"/>
      <c r="G33" s="5"/>
      <c r="H33" s="5"/>
      <c r="I33" s="5"/>
      <c r="J33" s="5"/>
      <c r="K33" s="5"/>
      <c r="L33" s="11"/>
      <c r="M33" s="11"/>
      <c r="N33" s="5"/>
      <c r="O33" s="5"/>
      <c r="P33" s="6"/>
      <c r="R33" s="143"/>
      <c r="S33" s="144"/>
      <c r="T33" s="144"/>
      <c r="U33" s="145"/>
    </row>
    <row r="34" spans="2:21" ht="12.75">
      <c r="B34" s="4"/>
      <c r="C34" s="5"/>
      <c r="D34" s="5"/>
      <c r="E34" s="5"/>
      <c r="F34" s="5"/>
      <c r="G34" s="5"/>
      <c r="H34" s="5"/>
      <c r="I34" s="5"/>
      <c r="J34" s="5"/>
      <c r="K34" s="5"/>
      <c r="L34" s="5"/>
      <c r="M34" s="5"/>
      <c r="N34" s="5"/>
      <c r="O34" s="5"/>
      <c r="P34" s="6"/>
      <c r="R34" s="143"/>
      <c r="S34" s="144"/>
      <c r="T34" s="144"/>
      <c r="U34" s="145"/>
    </row>
    <row r="35" spans="2:21" ht="12.75">
      <c r="B35" s="4"/>
      <c r="C35" s="5"/>
      <c r="D35" s="5"/>
      <c r="E35" s="5"/>
      <c r="F35" s="5"/>
      <c r="G35" s="5"/>
      <c r="H35" s="5"/>
      <c r="I35" s="5"/>
      <c r="J35" s="5"/>
      <c r="K35" s="5"/>
      <c r="L35" s="5"/>
      <c r="M35" s="5"/>
      <c r="N35" s="5"/>
      <c r="O35" s="5"/>
      <c r="P35" s="6"/>
      <c r="R35" s="143"/>
      <c r="S35" s="144"/>
      <c r="T35" s="144"/>
      <c r="U35" s="145"/>
    </row>
    <row r="36" spans="2:21" ht="12.75">
      <c r="B36" s="4"/>
      <c r="C36" s="5"/>
      <c r="D36" s="5"/>
      <c r="E36" s="5"/>
      <c r="F36" s="5"/>
      <c r="G36" s="124" t="s">
        <v>13</v>
      </c>
      <c r="H36" s="125"/>
      <c r="I36" s="125"/>
      <c r="J36" s="125"/>
      <c r="K36" s="125"/>
      <c r="L36" s="5"/>
      <c r="M36" s="5"/>
      <c r="N36" s="5"/>
      <c r="O36" s="5"/>
      <c r="P36" s="6"/>
      <c r="R36" s="143"/>
      <c r="S36" s="144"/>
      <c r="T36" s="144"/>
      <c r="U36" s="145"/>
    </row>
    <row r="37" spans="2:21" ht="12.75">
      <c r="B37" s="4"/>
      <c r="C37" s="5"/>
      <c r="D37" s="5"/>
      <c r="E37" s="5"/>
      <c r="F37" s="5"/>
      <c r="G37" s="5"/>
      <c r="H37" s="5"/>
      <c r="I37" s="5"/>
      <c r="J37" s="5"/>
      <c r="K37" s="5"/>
      <c r="L37" s="5"/>
      <c r="M37" s="5"/>
      <c r="N37" s="5"/>
      <c r="O37" s="5"/>
      <c r="P37" s="6"/>
      <c r="R37" s="143"/>
      <c r="S37" s="144"/>
      <c r="T37" s="144"/>
      <c r="U37" s="145"/>
    </row>
    <row r="38" spans="2:21" ht="12.75">
      <c r="B38" s="4"/>
      <c r="C38" s="5"/>
      <c r="D38" s="5"/>
      <c r="E38" s="5"/>
      <c r="F38" s="5"/>
      <c r="G38" s="5"/>
      <c r="H38" s="5"/>
      <c r="I38" s="5"/>
      <c r="J38" s="5"/>
      <c r="K38" s="5"/>
      <c r="L38" s="5"/>
      <c r="M38" s="5"/>
      <c r="N38" s="5"/>
      <c r="O38" s="5"/>
      <c r="P38" s="6"/>
      <c r="R38" s="143"/>
      <c r="S38" s="144"/>
      <c r="T38" s="144"/>
      <c r="U38" s="145"/>
    </row>
    <row r="39" spans="2:21" ht="12.75">
      <c r="B39" s="4"/>
      <c r="C39" s="5"/>
      <c r="D39" s="5"/>
      <c r="E39" s="5"/>
      <c r="F39" s="5"/>
      <c r="G39" s="5"/>
      <c r="H39" s="5"/>
      <c r="I39" s="5"/>
      <c r="J39" s="5"/>
      <c r="K39" s="5"/>
      <c r="L39" s="5"/>
      <c r="M39" s="5"/>
      <c r="N39" s="5"/>
      <c r="O39" s="5"/>
      <c r="P39" s="6"/>
      <c r="R39" s="143"/>
      <c r="S39" s="144"/>
      <c r="T39" s="144"/>
      <c r="U39" s="145"/>
    </row>
    <row r="40" spans="2:21" ht="12.75">
      <c r="B40" s="4"/>
      <c r="C40" s="5"/>
      <c r="D40" s="5"/>
      <c r="E40" s="5"/>
      <c r="F40" s="5"/>
      <c r="G40" s="5"/>
      <c r="H40" s="5"/>
      <c r="I40" s="5"/>
      <c r="J40" s="5"/>
      <c r="K40" s="5"/>
      <c r="L40" s="5"/>
      <c r="M40" s="5"/>
      <c r="N40" s="5"/>
      <c r="O40" s="5"/>
      <c r="P40" s="6"/>
      <c r="R40" s="143"/>
      <c r="S40" s="144"/>
      <c r="T40" s="144"/>
      <c r="U40" s="145"/>
    </row>
    <row r="41" spans="2:21" ht="12.75">
      <c r="B41" s="4"/>
      <c r="C41" s="5"/>
      <c r="D41" s="5"/>
      <c r="E41" s="5"/>
      <c r="F41" s="5"/>
      <c r="G41" s="5"/>
      <c r="H41" s="5"/>
      <c r="I41" s="5"/>
      <c r="J41" s="5"/>
      <c r="K41" s="5"/>
      <c r="L41" s="5"/>
      <c r="M41" s="5"/>
      <c r="N41" s="5"/>
      <c r="O41" s="5"/>
      <c r="P41" s="6"/>
      <c r="R41" s="143"/>
      <c r="S41" s="144"/>
      <c r="T41" s="144"/>
      <c r="U41" s="145"/>
    </row>
    <row r="42" spans="2:21" ht="12.75">
      <c r="B42" s="4"/>
      <c r="C42" s="5"/>
      <c r="D42" s="5"/>
      <c r="E42" s="5"/>
      <c r="F42" s="5"/>
      <c r="G42" s="5"/>
      <c r="H42" s="5"/>
      <c r="I42" s="5"/>
      <c r="J42" s="5"/>
      <c r="K42" s="5"/>
      <c r="L42" s="5"/>
      <c r="M42" s="5"/>
      <c r="N42" s="5"/>
      <c r="O42" s="5"/>
      <c r="P42" s="6"/>
      <c r="R42" s="143"/>
      <c r="S42" s="144"/>
      <c r="T42" s="144"/>
      <c r="U42" s="145"/>
    </row>
    <row r="43" spans="2:21" ht="12.75">
      <c r="B43" s="4"/>
      <c r="C43" s="5"/>
      <c r="D43" s="5"/>
      <c r="E43" s="5"/>
      <c r="F43" s="5"/>
      <c r="G43" s="5"/>
      <c r="H43" s="5"/>
      <c r="I43" s="5"/>
      <c r="J43" s="5"/>
      <c r="K43" s="5"/>
      <c r="L43" s="5"/>
      <c r="M43" s="5"/>
      <c r="N43" s="5"/>
      <c r="O43" s="5"/>
      <c r="P43" s="6"/>
      <c r="R43" s="143"/>
      <c r="S43" s="144"/>
      <c r="T43" s="144"/>
      <c r="U43" s="145"/>
    </row>
    <row r="44" spans="2:21" ht="13.5" thickBot="1">
      <c r="B44" s="7"/>
      <c r="C44" s="8"/>
      <c r="D44" s="8"/>
      <c r="E44" s="8"/>
      <c r="F44" s="8"/>
      <c r="G44" s="8"/>
      <c r="H44" s="8"/>
      <c r="I44" s="8"/>
      <c r="J44" s="8"/>
      <c r="K44" s="8"/>
      <c r="L44" s="8"/>
      <c r="M44" s="8"/>
      <c r="N44" s="8"/>
      <c r="O44" s="8"/>
      <c r="P44" s="9"/>
      <c r="R44" s="123" t="s">
        <v>76</v>
      </c>
      <c r="S44" s="123"/>
      <c r="T44" s="123"/>
      <c r="U44" s="123"/>
    </row>
  </sheetData>
  <sheetProtection/>
  <mergeCells count="28">
    <mergeCell ref="H12:L12"/>
    <mergeCell ref="R2:U2"/>
    <mergeCell ref="B2:J2"/>
    <mergeCell ref="B5:P8"/>
    <mergeCell ref="B10:G10"/>
    <mergeCell ref="R3:U43"/>
    <mergeCell ref="B12:G12"/>
    <mergeCell ref="B13:G13"/>
    <mergeCell ref="H11:L11"/>
    <mergeCell ref="H10:L10"/>
    <mergeCell ref="H13:L13"/>
    <mergeCell ref="B11:G11"/>
    <mergeCell ref="R44:U44"/>
    <mergeCell ref="C27:E27"/>
    <mergeCell ref="C28:E31"/>
    <mergeCell ref="H27:K27"/>
    <mergeCell ref="G36:K36"/>
    <mergeCell ref="G20:K20"/>
    <mergeCell ref="B14:G14"/>
    <mergeCell ref="H14:L14"/>
    <mergeCell ref="D21:E24"/>
    <mergeCell ref="H28:K28"/>
    <mergeCell ref="M27:N27"/>
    <mergeCell ref="B17:P17"/>
    <mergeCell ref="B23:B24"/>
    <mergeCell ref="D20:E20"/>
    <mergeCell ref="M28:N31"/>
    <mergeCell ref="G21:K24"/>
  </mergeCells>
  <conditionalFormatting sqref="D21:E24">
    <cfRule type="expression" priority="1" dxfId="32" stopIfTrue="1">
      <formula>$D$19&gt;0</formula>
    </cfRule>
    <cfRule type="expression" priority="2" dxfId="33" stopIfTrue="1">
      <formula>$D$19&lt;=0</formula>
    </cfRule>
  </conditionalFormatting>
  <conditionalFormatting sqref="G21:K24">
    <cfRule type="expression" priority="3" dxfId="4" stopIfTrue="1">
      <formula>$G$19=0</formula>
    </cfRule>
    <cfRule type="expression" priority="4" dxfId="5" stopIfTrue="1">
      <formula>$G$19&gt;0</formula>
    </cfRule>
  </conditionalFormatting>
  <conditionalFormatting sqref="M28:N31">
    <cfRule type="expression" priority="5" dxfId="4" stopIfTrue="1">
      <formula>$M$26=0</formula>
    </cfRule>
    <cfRule type="expression" priority="6" dxfId="5" stopIfTrue="1">
      <formula>$M$26&gt;0</formula>
    </cfRule>
  </conditionalFormatting>
  <conditionalFormatting sqref="C28:E31">
    <cfRule type="expression" priority="7" dxfId="4" stopIfTrue="1">
      <formula>$C$26=0</formula>
    </cfRule>
    <cfRule type="expression" priority="8" dxfId="5" stopIfTrue="1">
      <formula>$C$26&gt;0</formula>
    </cfRule>
  </conditionalFormatting>
  <hyperlinks>
    <hyperlink ref="D20:E20" location="'Indicator 7'!A1" display="Treatment"/>
    <hyperlink ref="G20:K20" location="'Indicator 3'!A1" display="Total time in Walk in Centre"/>
    <hyperlink ref="M27:N27" location="'Indicator 2'!A1" display="Re-Attendances"/>
    <hyperlink ref="R44:U44" location="Glossary!A1" display="Glossary"/>
    <hyperlink ref="C27:E27" location="'Indicator 4'!A1" display="Left without being seen"/>
    <hyperlink ref="B12" r:id="rId1" display="clinicalperformance@bridgewater.nhs.uk"/>
  </hyperlinks>
  <printOptions/>
  <pageMargins left="0.75" right="0.75" top="1" bottom="1" header="0.5" footer="0.5"/>
  <pageSetup fitToHeight="1" fitToWidth="1" horizontalDpi="600" verticalDpi="600" orientation="landscape" paperSize="9" scale="71" r:id="rId3"/>
  <drawing r:id="rId2"/>
</worksheet>
</file>

<file path=xl/worksheets/sheet2.xml><?xml version="1.0" encoding="utf-8"?>
<worksheet xmlns="http://schemas.openxmlformats.org/spreadsheetml/2006/main" xmlns:r="http://schemas.openxmlformats.org/officeDocument/2006/relationships">
  <dimension ref="A2:F6"/>
  <sheetViews>
    <sheetView zoomScalePageLayoutView="0" workbookViewId="0" topLeftCell="A1">
      <selection activeCell="B9" sqref="B9"/>
    </sheetView>
  </sheetViews>
  <sheetFormatPr defaultColWidth="9.140625" defaultRowHeight="12.75"/>
  <cols>
    <col min="2" max="2" width="45.57421875" style="0" customWidth="1"/>
    <col min="3" max="3" width="13.28125" style="0" bestFit="1" customWidth="1"/>
    <col min="4" max="4" width="9.140625" style="16" customWidth="1"/>
    <col min="6" max="6" width="12.28125" style="0" bestFit="1" customWidth="1"/>
  </cols>
  <sheetData>
    <row r="2" spans="1:6" ht="12.75">
      <c r="A2" s="17" t="s">
        <v>18</v>
      </c>
      <c r="B2" s="17" t="s">
        <v>17</v>
      </c>
      <c r="C2" s="17" t="s">
        <v>19</v>
      </c>
      <c r="D2" s="18" t="s">
        <v>20</v>
      </c>
      <c r="E2" s="17" t="s">
        <v>28</v>
      </c>
      <c r="F2" s="17" t="s">
        <v>21</v>
      </c>
    </row>
    <row r="3" spans="1:6" ht="12.75">
      <c r="A3" s="20">
        <v>2</v>
      </c>
      <c r="B3" s="20" t="s">
        <v>22</v>
      </c>
      <c r="C3" s="20" t="s">
        <v>23</v>
      </c>
      <c r="D3" s="21">
        <f ca="1">INDIRECT(CONCATENATE("'Main Datasheet'!$H$"&amp;SUM(COUNTA('Main Datasheet'!C:C)+2)))</f>
        <v>5</v>
      </c>
      <c r="E3" s="22" t="s">
        <v>29</v>
      </c>
      <c r="F3" s="19">
        <f>ROUND('Indicator 2'!O7,2)</f>
        <v>0</v>
      </c>
    </row>
    <row r="4" spans="1:6" ht="12.75">
      <c r="A4" s="20">
        <v>3</v>
      </c>
      <c r="B4" s="20" t="s">
        <v>24</v>
      </c>
      <c r="C4" s="20" t="s">
        <v>25</v>
      </c>
      <c r="D4" s="21">
        <f ca="1">INDIRECT(CONCATENATE("'Main Datasheet'!$N$"&amp;SUM(COUNTA('Main Datasheet'!C:C)+2)))</f>
        <v>240</v>
      </c>
      <c r="E4" s="20" t="s">
        <v>30</v>
      </c>
      <c r="F4" s="19">
        <f>ROUND('Indicator 3'!V7,2)</f>
        <v>194</v>
      </c>
    </row>
    <row r="5" spans="1:6" ht="12.75">
      <c r="A5" s="20">
        <v>4</v>
      </c>
      <c r="B5" s="20" t="s">
        <v>12</v>
      </c>
      <c r="C5" s="20" t="s">
        <v>23</v>
      </c>
      <c r="D5" s="21">
        <f ca="1">INDIRECT(CONCATENATE("'Main Datasheet'!$R$"&amp;SUM(COUNTA('Main Datasheet'!C:C)+2)))</f>
        <v>5</v>
      </c>
      <c r="E5" s="22" t="s">
        <v>29</v>
      </c>
      <c r="F5" s="19">
        <f>ROUND('Indicator 4'!O7,2)</f>
        <v>0.16</v>
      </c>
    </row>
    <row r="6" spans="1:6" ht="12.75">
      <c r="A6" s="20">
        <v>7</v>
      </c>
      <c r="B6" s="20" t="s">
        <v>26</v>
      </c>
      <c r="C6" s="20" t="s">
        <v>27</v>
      </c>
      <c r="D6" s="21">
        <f ca="1">INDIRECT(CONCATENATE("'Main Datasheet'!$Z$"&amp;SUM(COUNTA('Main Datasheet'!C:C)+2)))</f>
        <v>60</v>
      </c>
      <c r="E6" s="20" t="s">
        <v>30</v>
      </c>
      <c r="F6" s="19">
        <f>ROUND('Indicator 7'!V6,2)</f>
        <v>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136"/>
  <sheetViews>
    <sheetView zoomScale="115" zoomScaleNormal="115" zoomScalePageLayoutView="0" workbookViewId="0" topLeftCell="A1">
      <pane xSplit="3" ySplit="3" topLeftCell="M124" activePane="bottomRight" state="frozen"/>
      <selection pane="topLeft" activeCell="A1" sqref="A1"/>
      <selection pane="topRight" activeCell="D1" sqref="D1"/>
      <selection pane="bottomLeft" activeCell="A4" sqref="A4"/>
      <selection pane="bottomRight" activeCell="T137" sqref="T137"/>
    </sheetView>
  </sheetViews>
  <sheetFormatPr defaultColWidth="9.140625" defaultRowHeight="12.75"/>
  <cols>
    <col min="2" max="2" width="10.00390625" style="0" bestFit="1" customWidth="1"/>
    <col min="3" max="3" width="10.57421875" style="0" bestFit="1" customWidth="1"/>
    <col min="4" max="4" width="11.57421875" style="26" bestFit="1" customWidth="1"/>
    <col min="5" max="5" width="11.7109375" style="53" bestFit="1" customWidth="1"/>
    <col min="6" max="7" width="10.140625" style="0" customWidth="1"/>
    <col min="8" max="8" width="14.140625" style="28" customWidth="1"/>
    <col min="13" max="13" width="13.00390625" style="0" customWidth="1"/>
    <col min="14" max="14" width="9.140625" style="28" customWidth="1"/>
    <col min="16" max="16" width="11.57421875" style="0" bestFit="1" customWidth="1"/>
    <col min="19" max="19" width="15.00390625" style="28" customWidth="1"/>
    <col min="23" max="25" width="12.140625" style="0" customWidth="1"/>
    <col min="26" max="26" width="12.140625" style="28" customWidth="1"/>
  </cols>
  <sheetData>
    <row r="1" spans="4:26" ht="13.5" thickBot="1">
      <c r="D1" s="149" t="s">
        <v>48</v>
      </c>
      <c r="E1" s="149"/>
      <c r="F1" s="149"/>
      <c r="G1" s="149"/>
      <c r="H1" s="149"/>
      <c r="I1" s="149" t="s">
        <v>49</v>
      </c>
      <c r="J1" s="149"/>
      <c r="K1" s="149"/>
      <c r="L1" s="149"/>
      <c r="M1" s="149"/>
      <c r="N1" s="149"/>
      <c r="O1" s="149" t="s">
        <v>54</v>
      </c>
      <c r="P1" s="149"/>
      <c r="Q1" s="149"/>
      <c r="R1" s="149"/>
      <c r="S1" s="149"/>
      <c r="T1" s="149" t="s">
        <v>55</v>
      </c>
      <c r="U1" s="149"/>
      <c r="V1" s="149"/>
      <c r="W1" s="149"/>
      <c r="X1" s="149"/>
      <c r="Y1" s="149"/>
      <c r="Z1" s="149"/>
    </row>
    <row r="3" spans="1:26" s="25" customFormat="1" ht="37.5" customHeight="1">
      <c r="A3" s="29" t="s">
        <v>32</v>
      </c>
      <c r="B3" s="29" t="s">
        <v>33</v>
      </c>
      <c r="C3" s="29" t="s">
        <v>34</v>
      </c>
      <c r="D3" s="30" t="s">
        <v>23</v>
      </c>
      <c r="E3" s="78" t="s">
        <v>47</v>
      </c>
      <c r="F3" s="29" t="s">
        <v>53</v>
      </c>
      <c r="G3" s="29" t="s">
        <v>62</v>
      </c>
      <c r="H3" s="31" t="s">
        <v>71</v>
      </c>
      <c r="I3" s="29" t="s">
        <v>50</v>
      </c>
      <c r="J3" s="29" t="s">
        <v>51</v>
      </c>
      <c r="K3" s="29" t="s">
        <v>52</v>
      </c>
      <c r="L3" s="29" t="s">
        <v>53</v>
      </c>
      <c r="M3" s="29" t="s">
        <v>66</v>
      </c>
      <c r="N3" s="31" t="s">
        <v>59</v>
      </c>
      <c r="O3" s="29" t="s">
        <v>23</v>
      </c>
      <c r="P3" s="29" t="s">
        <v>67</v>
      </c>
      <c r="Q3" s="29" t="s">
        <v>53</v>
      </c>
      <c r="R3" s="29" t="s">
        <v>62</v>
      </c>
      <c r="S3" s="31" t="s">
        <v>59</v>
      </c>
      <c r="T3" s="29" t="s">
        <v>50</v>
      </c>
      <c r="U3" s="29" t="s">
        <v>51</v>
      </c>
      <c r="V3" s="29" t="s">
        <v>52</v>
      </c>
      <c r="W3" s="29" t="s">
        <v>56</v>
      </c>
      <c r="X3" s="29" t="s">
        <v>53</v>
      </c>
      <c r="Y3" s="29" t="s">
        <v>62</v>
      </c>
      <c r="Z3" s="31" t="s">
        <v>59</v>
      </c>
    </row>
    <row r="4" spans="1:26" s="25" customFormat="1" ht="12.75" customHeight="1">
      <c r="A4">
        <f aca="true" t="shared" si="0" ref="A4:A9">YEAR(C4)</f>
        <v>2009</v>
      </c>
      <c r="B4" t="str">
        <f aca="true" t="shared" si="1" ref="B4:B33">VLOOKUP(MONTH(C4),Months,2,FALSE)</f>
        <v>March</v>
      </c>
      <c r="C4" s="33">
        <v>39873</v>
      </c>
      <c r="D4" s="80">
        <v>2.74</v>
      </c>
      <c r="E4" s="79"/>
      <c r="F4" s="50"/>
      <c r="G4">
        <v>5</v>
      </c>
      <c r="H4" s="28">
        <v>5</v>
      </c>
      <c r="I4" s="32">
        <v>32</v>
      </c>
      <c r="J4" s="32">
        <v>93</v>
      </c>
      <c r="K4" s="32">
        <v>386</v>
      </c>
      <c r="L4" s="32"/>
      <c r="M4" s="32">
        <v>5</v>
      </c>
      <c r="N4" s="27">
        <v>240</v>
      </c>
      <c r="O4" s="35">
        <v>0.74</v>
      </c>
      <c r="P4" s="35"/>
      <c r="Q4" s="35"/>
      <c r="R4">
        <v>5</v>
      </c>
      <c r="S4" s="28">
        <v>5</v>
      </c>
      <c r="T4" s="42">
        <v>20</v>
      </c>
      <c r="U4" s="35">
        <v>52</v>
      </c>
      <c r="V4" s="35">
        <v>381</v>
      </c>
      <c r="W4" s="35"/>
      <c r="X4" s="35"/>
      <c r="Y4" s="35">
        <v>5</v>
      </c>
      <c r="Z4" s="27">
        <v>60</v>
      </c>
    </row>
    <row r="5" spans="1:26" s="25" customFormat="1" ht="12.75" customHeight="1">
      <c r="A5">
        <f t="shared" si="0"/>
        <v>2009</v>
      </c>
      <c r="B5" t="str">
        <f t="shared" si="1"/>
        <v>April</v>
      </c>
      <c r="C5" s="33">
        <v>39904</v>
      </c>
      <c r="D5" s="80">
        <v>2.79</v>
      </c>
      <c r="E5" s="79"/>
      <c r="F5" s="50"/>
      <c r="G5">
        <v>5</v>
      </c>
      <c r="H5" s="28">
        <v>5</v>
      </c>
      <c r="I5" s="32">
        <v>15</v>
      </c>
      <c r="J5" s="32">
        <v>41</v>
      </c>
      <c r="K5" s="32">
        <v>115</v>
      </c>
      <c r="L5" s="32"/>
      <c r="M5" s="32">
        <v>5</v>
      </c>
      <c r="N5" s="27">
        <v>240</v>
      </c>
      <c r="O5" s="35">
        <v>0.41</v>
      </c>
      <c r="P5" s="35"/>
      <c r="Q5" s="35"/>
      <c r="R5">
        <v>5</v>
      </c>
      <c r="S5" s="28">
        <v>5</v>
      </c>
      <c r="T5" s="42">
        <v>27</v>
      </c>
      <c r="U5" s="35">
        <v>74</v>
      </c>
      <c r="V5" s="35">
        <v>139</v>
      </c>
      <c r="W5" s="35"/>
      <c r="X5" s="35"/>
      <c r="Y5" s="35">
        <v>5</v>
      </c>
      <c r="Z5" s="27">
        <v>60</v>
      </c>
    </row>
    <row r="6" spans="1:26" s="25" customFormat="1" ht="12.75" customHeight="1">
      <c r="A6">
        <f t="shared" si="0"/>
        <v>2009</v>
      </c>
      <c r="B6" t="str">
        <f t="shared" si="1"/>
        <v>May</v>
      </c>
      <c r="C6" s="33">
        <v>39934</v>
      </c>
      <c r="D6" s="80">
        <v>2.64</v>
      </c>
      <c r="E6" s="79"/>
      <c r="F6" s="50"/>
      <c r="G6">
        <v>5</v>
      </c>
      <c r="H6" s="28">
        <v>5</v>
      </c>
      <c r="I6" s="32">
        <v>32</v>
      </c>
      <c r="J6" s="32">
        <v>81</v>
      </c>
      <c r="K6" s="32">
        <v>237</v>
      </c>
      <c r="L6" s="32"/>
      <c r="M6" s="32">
        <v>5</v>
      </c>
      <c r="N6" s="27">
        <v>240</v>
      </c>
      <c r="O6" s="35">
        <v>0.54</v>
      </c>
      <c r="P6" s="35"/>
      <c r="Q6" s="35"/>
      <c r="R6">
        <v>5</v>
      </c>
      <c r="S6" s="28">
        <v>5</v>
      </c>
      <c r="T6" s="42">
        <v>18</v>
      </c>
      <c r="U6" s="35">
        <v>47</v>
      </c>
      <c r="V6" s="35">
        <v>200</v>
      </c>
      <c r="W6" s="35"/>
      <c r="X6" s="35"/>
      <c r="Y6" s="35">
        <v>5</v>
      </c>
      <c r="Z6" s="27">
        <v>60</v>
      </c>
    </row>
    <row r="7" spans="1:26" s="25" customFormat="1" ht="12.75" customHeight="1">
      <c r="A7">
        <f t="shared" si="0"/>
        <v>2009</v>
      </c>
      <c r="B7" t="str">
        <f t="shared" si="1"/>
        <v>June</v>
      </c>
      <c r="C7" s="33">
        <v>39965</v>
      </c>
      <c r="D7" s="80">
        <v>2.4</v>
      </c>
      <c r="E7" s="79"/>
      <c r="F7" s="50"/>
      <c r="G7">
        <v>5</v>
      </c>
      <c r="H7" s="28">
        <v>5</v>
      </c>
      <c r="I7" s="32">
        <v>32</v>
      </c>
      <c r="J7" s="32">
        <v>77</v>
      </c>
      <c r="K7" s="32">
        <v>166</v>
      </c>
      <c r="L7" s="32"/>
      <c r="M7" s="32">
        <v>5</v>
      </c>
      <c r="N7" s="27">
        <v>240</v>
      </c>
      <c r="O7" s="35">
        <v>0.6</v>
      </c>
      <c r="P7" s="35"/>
      <c r="Q7" s="35"/>
      <c r="R7">
        <v>5</v>
      </c>
      <c r="S7" s="28">
        <v>5</v>
      </c>
      <c r="T7" s="42">
        <v>20</v>
      </c>
      <c r="U7" s="35">
        <v>51</v>
      </c>
      <c r="V7" s="35">
        <v>124</v>
      </c>
      <c r="W7" s="35"/>
      <c r="X7" s="35"/>
      <c r="Y7" s="35">
        <v>5</v>
      </c>
      <c r="Z7" s="27">
        <v>60</v>
      </c>
    </row>
    <row r="8" spans="1:26" s="25" customFormat="1" ht="12.75" customHeight="1">
      <c r="A8">
        <f t="shared" si="0"/>
        <v>2009</v>
      </c>
      <c r="B8" t="str">
        <f t="shared" si="1"/>
        <v>July</v>
      </c>
      <c r="C8" s="33">
        <v>39995</v>
      </c>
      <c r="D8" s="80">
        <v>1.8</v>
      </c>
      <c r="E8" s="79"/>
      <c r="F8" s="50"/>
      <c r="G8">
        <v>5</v>
      </c>
      <c r="H8" s="28">
        <v>5</v>
      </c>
      <c r="I8" s="32">
        <v>32</v>
      </c>
      <c r="J8" s="32">
        <v>81</v>
      </c>
      <c r="K8" s="32">
        <v>221</v>
      </c>
      <c r="L8" s="32"/>
      <c r="M8" s="32">
        <v>5</v>
      </c>
      <c r="N8" s="27">
        <v>240</v>
      </c>
      <c r="O8" s="35">
        <v>0.65</v>
      </c>
      <c r="P8" s="35"/>
      <c r="Q8" s="35"/>
      <c r="R8">
        <v>5</v>
      </c>
      <c r="S8" s="28">
        <v>5</v>
      </c>
      <c r="T8" s="42">
        <v>20</v>
      </c>
      <c r="U8" s="35">
        <v>52</v>
      </c>
      <c r="V8" s="35">
        <v>165</v>
      </c>
      <c r="W8" s="35"/>
      <c r="X8" s="35"/>
      <c r="Y8" s="35">
        <v>5</v>
      </c>
      <c r="Z8" s="27">
        <v>60</v>
      </c>
    </row>
    <row r="9" spans="1:26" s="25" customFormat="1" ht="12.75" customHeight="1">
      <c r="A9">
        <f t="shared" si="0"/>
        <v>2009</v>
      </c>
      <c r="B9" t="str">
        <f t="shared" si="1"/>
        <v>August</v>
      </c>
      <c r="C9" s="33">
        <v>40026</v>
      </c>
      <c r="D9" s="80">
        <v>2.36</v>
      </c>
      <c r="E9" s="79"/>
      <c r="F9" s="50"/>
      <c r="G9">
        <v>5</v>
      </c>
      <c r="H9" s="28">
        <v>5</v>
      </c>
      <c r="I9" s="32">
        <v>28</v>
      </c>
      <c r="J9" s="32">
        <v>69</v>
      </c>
      <c r="K9" s="32">
        <v>235</v>
      </c>
      <c r="L9" s="32"/>
      <c r="M9" s="32">
        <v>5</v>
      </c>
      <c r="N9" s="27">
        <v>240</v>
      </c>
      <c r="O9" s="35">
        <v>0.21</v>
      </c>
      <c r="P9" s="35"/>
      <c r="Q9" s="35"/>
      <c r="R9">
        <v>5</v>
      </c>
      <c r="S9" s="28">
        <v>5</v>
      </c>
      <c r="T9" s="42">
        <v>11</v>
      </c>
      <c r="U9" s="35">
        <v>39</v>
      </c>
      <c r="V9" s="35">
        <v>234</v>
      </c>
      <c r="W9" s="35"/>
      <c r="X9" s="35"/>
      <c r="Y9" s="35">
        <v>5</v>
      </c>
      <c r="Z9" s="27">
        <v>60</v>
      </c>
    </row>
    <row r="10" spans="1:26" ht="12.75">
      <c r="A10">
        <f>YEAR(C10)</f>
        <v>2009</v>
      </c>
      <c r="B10" t="str">
        <f t="shared" si="1"/>
        <v>September</v>
      </c>
      <c r="C10" s="24">
        <v>40057</v>
      </c>
      <c r="D10" s="81">
        <v>2.47</v>
      </c>
      <c r="E10" s="79"/>
      <c r="F10" s="51"/>
      <c r="G10">
        <v>5</v>
      </c>
      <c r="H10" s="28">
        <v>5</v>
      </c>
      <c r="I10" s="49">
        <v>34</v>
      </c>
      <c r="J10" s="49">
        <v>89</v>
      </c>
      <c r="K10" s="49">
        <v>229</v>
      </c>
      <c r="M10" s="32">
        <v>5</v>
      </c>
      <c r="N10" s="27">
        <v>240</v>
      </c>
      <c r="O10" s="42">
        <v>0.74</v>
      </c>
      <c r="P10" s="34"/>
      <c r="Q10" s="34"/>
      <c r="R10">
        <v>5</v>
      </c>
      <c r="S10" s="28">
        <v>5</v>
      </c>
      <c r="T10" s="42">
        <v>22</v>
      </c>
      <c r="U10" s="35">
        <v>59</v>
      </c>
      <c r="V10" s="42">
        <v>219</v>
      </c>
      <c r="W10" s="34"/>
      <c r="X10" s="42"/>
      <c r="Y10" s="35">
        <v>5</v>
      </c>
      <c r="Z10" s="27">
        <v>60</v>
      </c>
    </row>
    <row r="11" spans="1:26" ht="12.75">
      <c r="A11">
        <f aca="true" t="shared" si="2" ref="A11:A35">YEAR(C11)</f>
        <v>2009</v>
      </c>
      <c r="B11" t="str">
        <f t="shared" si="1"/>
        <v>October</v>
      </c>
      <c r="C11" s="24">
        <v>40087</v>
      </c>
      <c r="D11" s="81">
        <v>1.89</v>
      </c>
      <c r="E11" s="79"/>
      <c r="F11" s="51"/>
      <c r="G11">
        <v>5</v>
      </c>
      <c r="H11" s="28">
        <v>5</v>
      </c>
      <c r="I11" s="49">
        <v>38</v>
      </c>
      <c r="J11" s="49">
        <v>102</v>
      </c>
      <c r="K11" s="49">
        <v>233</v>
      </c>
      <c r="M11" s="32">
        <v>5</v>
      </c>
      <c r="N11" s="27">
        <v>240</v>
      </c>
      <c r="O11" s="42">
        <v>0.84</v>
      </c>
      <c r="P11" s="34"/>
      <c r="Q11" s="34"/>
      <c r="R11">
        <v>5</v>
      </c>
      <c r="S11" s="28">
        <v>5</v>
      </c>
      <c r="T11" s="42">
        <v>24</v>
      </c>
      <c r="U11" s="35">
        <v>66</v>
      </c>
      <c r="V11" s="42">
        <v>223</v>
      </c>
      <c r="W11" s="34"/>
      <c r="X11" s="42"/>
      <c r="Y11" s="35">
        <v>5</v>
      </c>
      <c r="Z11" s="27">
        <v>60</v>
      </c>
    </row>
    <row r="12" spans="1:26" ht="12.75">
      <c r="A12">
        <f t="shared" si="2"/>
        <v>2009</v>
      </c>
      <c r="B12" t="str">
        <f t="shared" si="1"/>
        <v>November</v>
      </c>
      <c r="C12" s="24">
        <v>40118</v>
      </c>
      <c r="D12" s="81">
        <v>2.55</v>
      </c>
      <c r="E12" s="79"/>
      <c r="F12" s="51"/>
      <c r="G12">
        <v>5</v>
      </c>
      <c r="H12" s="28">
        <v>5</v>
      </c>
      <c r="I12" s="49">
        <v>37</v>
      </c>
      <c r="J12" s="49">
        <v>98</v>
      </c>
      <c r="K12" s="49">
        <v>230</v>
      </c>
      <c r="M12" s="32">
        <v>5</v>
      </c>
      <c r="N12" s="27">
        <v>240</v>
      </c>
      <c r="O12" s="42">
        <v>0.55</v>
      </c>
      <c r="P12" s="34"/>
      <c r="Q12" s="34"/>
      <c r="R12">
        <v>5</v>
      </c>
      <c r="S12" s="28">
        <v>5</v>
      </c>
      <c r="T12" s="42">
        <v>23</v>
      </c>
      <c r="U12" s="35">
        <v>59</v>
      </c>
      <c r="V12" s="42">
        <v>206</v>
      </c>
      <c r="W12" s="34"/>
      <c r="X12" s="42"/>
      <c r="Y12" s="35">
        <v>5</v>
      </c>
      <c r="Z12" s="27">
        <v>60</v>
      </c>
    </row>
    <row r="13" spans="1:26" ht="12.75">
      <c r="A13">
        <f t="shared" si="2"/>
        <v>2009</v>
      </c>
      <c r="B13" t="str">
        <f t="shared" si="1"/>
        <v>December</v>
      </c>
      <c r="C13" s="24">
        <v>40148</v>
      </c>
      <c r="D13" s="81">
        <v>1.66</v>
      </c>
      <c r="E13" s="79"/>
      <c r="F13" s="51"/>
      <c r="G13">
        <v>5</v>
      </c>
      <c r="H13" s="28">
        <v>5</v>
      </c>
      <c r="I13" s="49">
        <v>39</v>
      </c>
      <c r="J13" s="49">
        <v>106</v>
      </c>
      <c r="K13" s="49">
        <v>231</v>
      </c>
      <c r="L13" s="49">
        <v>0</v>
      </c>
      <c r="M13" s="32">
        <v>5</v>
      </c>
      <c r="N13" s="27">
        <v>240</v>
      </c>
      <c r="O13" s="42">
        <v>0.67</v>
      </c>
      <c r="P13" s="34"/>
      <c r="Q13" s="42">
        <v>0</v>
      </c>
      <c r="R13">
        <v>5</v>
      </c>
      <c r="S13" s="28">
        <v>5</v>
      </c>
      <c r="T13" s="42">
        <v>27</v>
      </c>
      <c r="U13" s="35">
        <v>68</v>
      </c>
      <c r="V13" s="42">
        <v>196</v>
      </c>
      <c r="W13" s="34"/>
      <c r="X13" s="42"/>
      <c r="Y13" s="35">
        <v>5</v>
      </c>
      <c r="Z13" s="27">
        <v>60</v>
      </c>
    </row>
    <row r="14" spans="1:26" ht="12.75">
      <c r="A14">
        <f t="shared" si="2"/>
        <v>2010</v>
      </c>
      <c r="B14" t="str">
        <f t="shared" si="1"/>
        <v>January</v>
      </c>
      <c r="C14" s="24">
        <v>40179</v>
      </c>
      <c r="D14" s="81">
        <v>1.78</v>
      </c>
      <c r="E14" s="79"/>
      <c r="F14" s="52"/>
      <c r="G14">
        <v>5</v>
      </c>
      <c r="H14" s="28">
        <v>5</v>
      </c>
      <c r="I14" s="49">
        <v>35</v>
      </c>
      <c r="J14" s="49">
        <v>95</v>
      </c>
      <c r="K14" s="49">
        <v>219</v>
      </c>
      <c r="L14" s="49">
        <v>0</v>
      </c>
      <c r="M14" s="32">
        <v>5</v>
      </c>
      <c r="N14" s="27">
        <v>240</v>
      </c>
      <c r="O14" s="42">
        <v>0.37</v>
      </c>
      <c r="P14" s="34"/>
      <c r="Q14" s="42">
        <v>0</v>
      </c>
      <c r="R14">
        <v>5</v>
      </c>
      <c r="S14" s="28">
        <v>5</v>
      </c>
      <c r="T14" s="42">
        <v>23</v>
      </c>
      <c r="U14" s="35">
        <v>65</v>
      </c>
      <c r="V14" s="42">
        <v>162</v>
      </c>
      <c r="W14" s="34"/>
      <c r="X14" s="42"/>
      <c r="Y14" s="35">
        <v>5</v>
      </c>
      <c r="Z14" s="27">
        <v>60</v>
      </c>
    </row>
    <row r="15" spans="1:26" ht="12.75">
      <c r="A15">
        <f t="shared" si="2"/>
        <v>2010</v>
      </c>
      <c r="B15" t="str">
        <f t="shared" si="1"/>
        <v>February</v>
      </c>
      <c r="C15" s="24">
        <v>40210</v>
      </c>
      <c r="D15" s="81">
        <v>1.98</v>
      </c>
      <c r="E15" s="79"/>
      <c r="F15" s="51"/>
      <c r="G15">
        <v>5</v>
      </c>
      <c r="H15" s="28">
        <v>5</v>
      </c>
      <c r="I15" s="49">
        <v>39</v>
      </c>
      <c r="J15" s="49">
        <v>111</v>
      </c>
      <c r="K15" s="49">
        <v>239</v>
      </c>
      <c r="L15" s="49">
        <v>0</v>
      </c>
      <c r="M15" s="32">
        <v>5</v>
      </c>
      <c r="N15" s="27">
        <v>240</v>
      </c>
      <c r="O15" s="42">
        <v>0.74</v>
      </c>
      <c r="P15" s="34"/>
      <c r="Q15" s="42">
        <v>0</v>
      </c>
      <c r="R15">
        <v>5</v>
      </c>
      <c r="S15" s="28">
        <v>5</v>
      </c>
      <c r="T15" s="42">
        <v>26</v>
      </c>
      <c r="U15" s="35">
        <v>78</v>
      </c>
      <c r="V15" s="42">
        <v>207</v>
      </c>
      <c r="W15" s="34"/>
      <c r="X15" s="42"/>
      <c r="Y15" s="35">
        <v>5</v>
      </c>
      <c r="Z15" s="27">
        <v>60</v>
      </c>
    </row>
    <row r="16" spans="1:26" ht="12.75">
      <c r="A16">
        <f t="shared" si="2"/>
        <v>2010</v>
      </c>
      <c r="B16" t="str">
        <f t="shared" si="1"/>
        <v>March</v>
      </c>
      <c r="C16" s="24">
        <v>40238</v>
      </c>
      <c r="D16" s="81">
        <v>2.43</v>
      </c>
      <c r="E16" s="79"/>
      <c r="F16" s="51"/>
      <c r="G16">
        <v>5</v>
      </c>
      <c r="H16" s="28">
        <v>5</v>
      </c>
      <c r="I16" s="49">
        <v>40</v>
      </c>
      <c r="J16" s="49">
        <v>104</v>
      </c>
      <c r="K16" s="49">
        <v>235</v>
      </c>
      <c r="L16" s="49">
        <v>0</v>
      </c>
      <c r="M16" s="32">
        <v>5</v>
      </c>
      <c r="N16" s="27">
        <v>240</v>
      </c>
      <c r="O16" s="42">
        <v>0.75</v>
      </c>
      <c r="P16" s="34"/>
      <c r="Q16" s="42">
        <v>0</v>
      </c>
      <c r="R16">
        <v>5</v>
      </c>
      <c r="S16" s="28">
        <v>5</v>
      </c>
      <c r="T16" s="42">
        <v>27</v>
      </c>
      <c r="U16" s="35">
        <v>67</v>
      </c>
      <c r="V16" s="42">
        <v>185</v>
      </c>
      <c r="W16" s="34"/>
      <c r="X16" s="42"/>
      <c r="Y16" s="35">
        <v>5</v>
      </c>
      <c r="Z16" s="27">
        <v>60</v>
      </c>
    </row>
    <row r="17" spans="1:26" ht="12.75">
      <c r="A17">
        <f t="shared" si="2"/>
        <v>2010</v>
      </c>
      <c r="B17" t="str">
        <f t="shared" si="1"/>
        <v>April</v>
      </c>
      <c r="C17" s="24">
        <v>40269</v>
      </c>
      <c r="D17" s="81">
        <v>2.23</v>
      </c>
      <c r="E17" s="79"/>
      <c r="F17" s="51"/>
      <c r="G17">
        <v>5</v>
      </c>
      <c r="H17" s="28">
        <v>5</v>
      </c>
      <c r="I17" s="49">
        <v>40</v>
      </c>
      <c r="J17" s="49">
        <v>105</v>
      </c>
      <c r="K17" s="49">
        <v>340</v>
      </c>
      <c r="L17" s="49">
        <v>0</v>
      </c>
      <c r="M17" s="32">
        <v>5</v>
      </c>
      <c r="N17" s="27">
        <v>240</v>
      </c>
      <c r="O17" s="42">
        <v>0.63</v>
      </c>
      <c r="P17" s="34"/>
      <c r="Q17" s="42">
        <v>0</v>
      </c>
      <c r="R17">
        <v>5</v>
      </c>
      <c r="S17" s="28">
        <v>5</v>
      </c>
      <c r="T17" s="42">
        <v>24</v>
      </c>
      <c r="U17" s="35">
        <v>61</v>
      </c>
      <c r="V17" s="42">
        <v>173</v>
      </c>
      <c r="W17" s="34"/>
      <c r="X17" s="42"/>
      <c r="Y17" s="35">
        <v>5</v>
      </c>
      <c r="Z17" s="27">
        <v>60</v>
      </c>
    </row>
    <row r="18" spans="1:26" ht="12.75">
      <c r="A18">
        <f t="shared" si="2"/>
        <v>2010</v>
      </c>
      <c r="B18" t="str">
        <f t="shared" si="1"/>
        <v>May</v>
      </c>
      <c r="C18" s="24">
        <v>40299</v>
      </c>
      <c r="D18" s="81">
        <v>2.38</v>
      </c>
      <c r="E18" s="79"/>
      <c r="F18" s="51"/>
      <c r="G18">
        <v>5</v>
      </c>
      <c r="H18" s="28">
        <v>5</v>
      </c>
      <c r="I18" s="49">
        <v>43</v>
      </c>
      <c r="J18" s="49">
        <v>117</v>
      </c>
      <c r="K18" s="49">
        <v>212</v>
      </c>
      <c r="L18" s="49">
        <v>0</v>
      </c>
      <c r="M18" s="32">
        <v>5</v>
      </c>
      <c r="N18" s="27">
        <v>240</v>
      </c>
      <c r="O18" s="42">
        <v>0.98</v>
      </c>
      <c r="P18" s="34"/>
      <c r="Q18" s="42">
        <v>0</v>
      </c>
      <c r="R18">
        <v>5</v>
      </c>
      <c r="S18" s="28">
        <v>5</v>
      </c>
      <c r="T18" s="42">
        <v>26</v>
      </c>
      <c r="U18" s="35">
        <v>67</v>
      </c>
      <c r="V18" s="42">
        <v>186</v>
      </c>
      <c r="W18" s="34"/>
      <c r="X18" s="42"/>
      <c r="Y18" s="35">
        <v>5</v>
      </c>
      <c r="Z18" s="27">
        <v>60</v>
      </c>
    </row>
    <row r="19" spans="1:26" ht="12.75">
      <c r="A19">
        <f t="shared" si="2"/>
        <v>2010</v>
      </c>
      <c r="B19" t="str">
        <f t="shared" si="1"/>
        <v>June</v>
      </c>
      <c r="C19" s="24">
        <v>40330</v>
      </c>
      <c r="D19" s="81">
        <v>2.6</v>
      </c>
      <c r="E19" s="79"/>
      <c r="F19" s="51"/>
      <c r="G19">
        <v>5</v>
      </c>
      <c r="H19" s="28">
        <v>5</v>
      </c>
      <c r="I19" s="49">
        <v>35</v>
      </c>
      <c r="J19" s="49">
        <v>93</v>
      </c>
      <c r="K19" s="49">
        <v>194</v>
      </c>
      <c r="L19" s="49">
        <v>0</v>
      </c>
      <c r="M19" s="32">
        <v>5</v>
      </c>
      <c r="N19" s="27">
        <v>240</v>
      </c>
      <c r="O19" s="42">
        <v>0.6</v>
      </c>
      <c r="P19" s="34"/>
      <c r="Q19" s="42">
        <v>0</v>
      </c>
      <c r="R19">
        <v>5</v>
      </c>
      <c r="S19" s="28">
        <v>5</v>
      </c>
      <c r="T19" s="42">
        <v>22</v>
      </c>
      <c r="U19" s="35">
        <v>61</v>
      </c>
      <c r="V19" s="42">
        <v>188</v>
      </c>
      <c r="W19" s="34"/>
      <c r="X19" s="42"/>
      <c r="Y19" s="35">
        <v>5</v>
      </c>
      <c r="Z19" s="27">
        <v>60</v>
      </c>
    </row>
    <row r="20" spans="1:26" ht="12.75">
      <c r="A20">
        <f t="shared" si="2"/>
        <v>2010</v>
      </c>
      <c r="B20" t="str">
        <f t="shared" si="1"/>
        <v>July</v>
      </c>
      <c r="C20" s="24">
        <v>40360</v>
      </c>
      <c r="D20" s="81">
        <v>2.55</v>
      </c>
      <c r="E20" s="79"/>
      <c r="F20" s="51"/>
      <c r="G20">
        <v>5</v>
      </c>
      <c r="H20" s="28">
        <v>5</v>
      </c>
      <c r="I20" s="49">
        <v>32</v>
      </c>
      <c r="J20" s="49">
        <v>99</v>
      </c>
      <c r="K20" s="49">
        <v>300</v>
      </c>
      <c r="L20" s="49">
        <v>0.03</v>
      </c>
      <c r="M20" s="32">
        <v>5</v>
      </c>
      <c r="N20" s="27">
        <v>240</v>
      </c>
      <c r="O20" s="42">
        <v>0.56</v>
      </c>
      <c r="P20" s="34"/>
      <c r="Q20" s="42">
        <v>0.03</v>
      </c>
      <c r="R20">
        <v>5</v>
      </c>
      <c r="S20" s="28">
        <v>5</v>
      </c>
      <c r="T20" s="42">
        <v>23</v>
      </c>
      <c r="U20" s="35">
        <v>63</v>
      </c>
      <c r="V20" s="42">
        <v>300</v>
      </c>
      <c r="W20" s="34"/>
      <c r="X20" s="42"/>
      <c r="Y20" s="35">
        <v>5</v>
      </c>
      <c r="Z20" s="27">
        <v>60</v>
      </c>
    </row>
    <row r="21" spans="1:26" ht="12.75">
      <c r="A21">
        <f t="shared" si="2"/>
        <v>2010</v>
      </c>
      <c r="B21" t="str">
        <f t="shared" si="1"/>
        <v>August</v>
      </c>
      <c r="C21" s="24">
        <v>40391</v>
      </c>
      <c r="D21" s="81">
        <v>2.27</v>
      </c>
      <c r="E21" s="79"/>
      <c r="F21" s="51"/>
      <c r="G21">
        <v>5</v>
      </c>
      <c r="H21" s="28">
        <v>5</v>
      </c>
      <c r="I21" s="49">
        <v>31</v>
      </c>
      <c r="J21" s="49">
        <v>91</v>
      </c>
      <c r="K21" s="49">
        <v>231</v>
      </c>
      <c r="L21" s="49">
        <v>0</v>
      </c>
      <c r="M21" s="32">
        <v>5</v>
      </c>
      <c r="N21" s="27">
        <v>240</v>
      </c>
      <c r="O21" s="42">
        <v>0.13</v>
      </c>
      <c r="P21" s="34"/>
      <c r="Q21" s="42">
        <v>0</v>
      </c>
      <c r="R21">
        <v>5</v>
      </c>
      <c r="S21" s="28">
        <v>5</v>
      </c>
      <c r="T21" s="42">
        <v>19</v>
      </c>
      <c r="U21" s="35">
        <v>61</v>
      </c>
      <c r="V21" s="42">
        <v>192</v>
      </c>
      <c r="W21" s="34"/>
      <c r="X21" s="42"/>
      <c r="Y21" s="35">
        <v>5</v>
      </c>
      <c r="Z21" s="27">
        <v>60</v>
      </c>
    </row>
    <row r="22" spans="1:26" ht="12.75">
      <c r="A22">
        <f t="shared" si="2"/>
        <v>2010</v>
      </c>
      <c r="B22" t="str">
        <f t="shared" si="1"/>
        <v>September</v>
      </c>
      <c r="C22" s="24">
        <v>40422</v>
      </c>
      <c r="D22" s="81">
        <v>2.55</v>
      </c>
      <c r="E22" s="79"/>
      <c r="F22" s="51"/>
      <c r="G22">
        <v>5</v>
      </c>
      <c r="H22" s="28">
        <v>5</v>
      </c>
      <c r="I22" s="49">
        <v>40</v>
      </c>
      <c r="J22" s="49">
        <v>102</v>
      </c>
      <c r="K22" s="49">
        <v>220</v>
      </c>
      <c r="L22" s="49">
        <v>0</v>
      </c>
      <c r="M22" s="32">
        <v>5</v>
      </c>
      <c r="N22" s="27">
        <v>240</v>
      </c>
      <c r="O22" s="42">
        <v>0.42</v>
      </c>
      <c r="P22" s="34"/>
      <c r="Q22" s="42">
        <v>0</v>
      </c>
      <c r="R22">
        <v>5</v>
      </c>
      <c r="S22" s="28">
        <v>5</v>
      </c>
      <c r="T22" s="42">
        <v>25</v>
      </c>
      <c r="U22" s="35">
        <v>68</v>
      </c>
      <c r="V22" s="42">
        <v>139</v>
      </c>
      <c r="W22" s="34"/>
      <c r="X22" s="42"/>
      <c r="Y22" s="35">
        <v>5</v>
      </c>
      <c r="Z22" s="27">
        <v>60</v>
      </c>
    </row>
    <row r="23" spans="1:26" ht="12.75">
      <c r="A23">
        <f t="shared" si="2"/>
        <v>2010</v>
      </c>
      <c r="B23" t="str">
        <f t="shared" si="1"/>
        <v>October</v>
      </c>
      <c r="C23" s="24">
        <v>40452</v>
      </c>
      <c r="D23" s="81">
        <v>2.11</v>
      </c>
      <c r="E23" s="79"/>
      <c r="F23" s="51"/>
      <c r="G23">
        <v>5</v>
      </c>
      <c r="H23" s="28">
        <v>5</v>
      </c>
      <c r="I23" s="49">
        <v>42</v>
      </c>
      <c r="J23" s="49">
        <v>105</v>
      </c>
      <c r="K23" s="49">
        <v>221</v>
      </c>
      <c r="L23" s="49">
        <v>0</v>
      </c>
      <c r="M23" s="32">
        <v>5</v>
      </c>
      <c r="N23" s="27">
        <v>240</v>
      </c>
      <c r="O23" s="42">
        <v>1</v>
      </c>
      <c r="P23" s="34"/>
      <c r="Q23" s="42">
        <v>0</v>
      </c>
      <c r="R23">
        <v>5</v>
      </c>
      <c r="S23" s="28">
        <v>5</v>
      </c>
      <c r="T23" s="42">
        <v>25</v>
      </c>
      <c r="U23" s="35">
        <v>71</v>
      </c>
      <c r="V23" s="42">
        <v>173</v>
      </c>
      <c r="W23" s="34"/>
      <c r="X23" s="42"/>
      <c r="Y23" s="35">
        <v>5</v>
      </c>
      <c r="Z23" s="27">
        <v>60</v>
      </c>
    </row>
    <row r="24" spans="1:26" ht="12.75">
      <c r="A24">
        <f t="shared" si="2"/>
        <v>2010</v>
      </c>
      <c r="B24" t="str">
        <f t="shared" si="1"/>
        <v>November</v>
      </c>
      <c r="C24" s="24">
        <v>40483</v>
      </c>
      <c r="D24" s="81">
        <v>1.9</v>
      </c>
      <c r="E24" s="79"/>
      <c r="F24" s="51"/>
      <c r="G24">
        <v>5</v>
      </c>
      <c r="H24" s="28">
        <v>5</v>
      </c>
      <c r="I24" s="49">
        <v>42</v>
      </c>
      <c r="J24" s="49">
        <v>111</v>
      </c>
      <c r="K24" s="49">
        <v>228</v>
      </c>
      <c r="L24" s="49">
        <v>0</v>
      </c>
      <c r="M24" s="32">
        <v>5</v>
      </c>
      <c r="N24" s="27">
        <v>240</v>
      </c>
      <c r="O24" s="42">
        <v>1.02</v>
      </c>
      <c r="P24" s="34"/>
      <c r="Q24" s="42">
        <v>0</v>
      </c>
      <c r="R24">
        <v>5</v>
      </c>
      <c r="S24" s="28">
        <v>5</v>
      </c>
      <c r="T24" s="42">
        <v>23</v>
      </c>
      <c r="U24" s="35">
        <v>69</v>
      </c>
      <c r="V24" s="42">
        <v>144</v>
      </c>
      <c r="W24" s="34"/>
      <c r="X24" s="42"/>
      <c r="Y24" s="35">
        <v>5</v>
      </c>
      <c r="Z24" s="27">
        <v>60</v>
      </c>
    </row>
    <row r="25" spans="1:26" ht="12.75">
      <c r="A25">
        <f t="shared" si="2"/>
        <v>2010</v>
      </c>
      <c r="B25" t="str">
        <f t="shared" si="1"/>
        <v>December</v>
      </c>
      <c r="C25" s="24">
        <v>40513</v>
      </c>
      <c r="D25" s="81">
        <v>2.06</v>
      </c>
      <c r="E25" s="79"/>
      <c r="F25" s="51"/>
      <c r="G25">
        <v>5</v>
      </c>
      <c r="H25" s="28">
        <v>5</v>
      </c>
      <c r="I25" s="49">
        <v>54</v>
      </c>
      <c r="J25" s="49">
        <v>140</v>
      </c>
      <c r="K25" s="49">
        <v>276</v>
      </c>
      <c r="L25" s="49">
        <v>0</v>
      </c>
      <c r="M25" s="32">
        <v>5</v>
      </c>
      <c r="N25" s="27">
        <v>240</v>
      </c>
      <c r="O25" s="42">
        <v>1.16</v>
      </c>
      <c r="P25" s="34"/>
      <c r="Q25" s="42">
        <v>0</v>
      </c>
      <c r="R25">
        <v>5</v>
      </c>
      <c r="S25" s="28">
        <v>5</v>
      </c>
      <c r="T25" s="42">
        <v>31</v>
      </c>
      <c r="U25" s="35">
        <v>88</v>
      </c>
      <c r="V25" s="42">
        <v>174</v>
      </c>
      <c r="W25" s="34"/>
      <c r="X25" s="42"/>
      <c r="Y25" s="35">
        <v>5</v>
      </c>
      <c r="Z25" s="27">
        <v>60</v>
      </c>
    </row>
    <row r="26" spans="1:26" ht="12.75">
      <c r="A26">
        <f t="shared" si="2"/>
        <v>2011</v>
      </c>
      <c r="B26" t="str">
        <f t="shared" si="1"/>
        <v>January</v>
      </c>
      <c r="C26" s="24">
        <v>40544</v>
      </c>
      <c r="D26" s="81">
        <v>2.38</v>
      </c>
      <c r="E26" s="79"/>
      <c r="F26" s="51"/>
      <c r="G26">
        <v>5</v>
      </c>
      <c r="H26" s="28">
        <v>5</v>
      </c>
      <c r="I26" s="49">
        <v>40</v>
      </c>
      <c r="J26" s="49">
        <v>111</v>
      </c>
      <c r="K26" s="49">
        <v>248</v>
      </c>
      <c r="L26" s="49">
        <v>0</v>
      </c>
      <c r="M26" s="32">
        <v>5</v>
      </c>
      <c r="N26" s="27">
        <v>240</v>
      </c>
      <c r="O26" s="42">
        <v>0.53</v>
      </c>
      <c r="P26" s="34"/>
      <c r="Q26" s="42">
        <v>0</v>
      </c>
      <c r="R26">
        <v>5</v>
      </c>
      <c r="S26" s="28">
        <v>5</v>
      </c>
      <c r="T26" s="42">
        <v>25</v>
      </c>
      <c r="U26" s="35">
        <v>77</v>
      </c>
      <c r="V26" s="42">
        <v>196</v>
      </c>
      <c r="W26" s="34"/>
      <c r="X26" s="42"/>
      <c r="Y26" s="35">
        <v>5</v>
      </c>
      <c r="Z26" s="27">
        <v>60</v>
      </c>
    </row>
    <row r="27" spans="1:26" ht="12.75">
      <c r="A27">
        <f t="shared" si="2"/>
        <v>2011</v>
      </c>
      <c r="B27" t="str">
        <f t="shared" si="1"/>
        <v>February</v>
      </c>
      <c r="C27" s="24">
        <v>40575</v>
      </c>
      <c r="D27" s="81">
        <v>2.39</v>
      </c>
      <c r="E27" s="79"/>
      <c r="F27" s="51"/>
      <c r="G27">
        <v>5</v>
      </c>
      <c r="H27" s="28">
        <v>5</v>
      </c>
      <c r="I27" s="49">
        <v>37</v>
      </c>
      <c r="J27" s="49">
        <v>98</v>
      </c>
      <c r="K27" s="49">
        <v>183</v>
      </c>
      <c r="L27" s="49">
        <v>0</v>
      </c>
      <c r="M27" s="32">
        <v>5</v>
      </c>
      <c r="N27" s="27">
        <v>240</v>
      </c>
      <c r="O27" s="42">
        <v>0.17</v>
      </c>
      <c r="P27" s="34"/>
      <c r="Q27" s="42">
        <v>0</v>
      </c>
      <c r="R27">
        <v>5</v>
      </c>
      <c r="S27" s="28">
        <v>5</v>
      </c>
      <c r="T27" s="42">
        <v>21</v>
      </c>
      <c r="U27" s="35">
        <v>65</v>
      </c>
      <c r="V27" s="42">
        <v>253</v>
      </c>
      <c r="W27" s="34"/>
      <c r="X27" s="42"/>
      <c r="Y27" s="35">
        <v>5</v>
      </c>
      <c r="Z27" s="27">
        <v>60</v>
      </c>
    </row>
    <row r="28" spans="1:26" ht="12.75">
      <c r="A28">
        <f t="shared" si="2"/>
        <v>2011</v>
      </c>
      <c r="B28" t="str">
        <f t="shared" si="1"/>
        <v>March</v>
      </c>
      <c r="C28" s="24">
        <v>40603</v>
      </c>
      <c r="D28" s="81">
        <v>2.04</v>
      </c>
      <c r="E28" s="79"/>
      <c r="F28" s="51"/>
      <c r="G28">
        <v>5</v>
      </c>
      <c r="H28" s="28">
        <v>5</v>
      </c>
      <c r="I28" s="49">
        <v>42</v>
      </c>
      <c r="J28" s="49">
        <v>102</v>
      </c>
      <c r="K28" s="49">
        <v>218</v>
      </c>
      <c r="L28" s="49">
        <v>0</v>
      </c>
      <c r="M28" s="32">
        <v>5</v>
      </c>
      <c r="N28" s="27">
        <v>240</v>
      </c>
      <c r="O28" s="42">
        <v>0.63</v>
      </c>
      <c r="P28" s="34"/>
      <c r="Q28" s="42">
        <v>0</v>
      </c>
      <c r="R28">
        <v>5</v>
      </c>
      <c r="S28" s="28">
        <v>5</v>
      </c>
      <c r="T28" s="42">
        <v>25</v>
      </c>
      <c r="U28" s="35">
        <v>72</v>
      </c>
      <c r="V28" s="42">
        <v>218</v>
      </c>
      <c r="W28" s="34"/>
      <c r="X28" s="42"/>
      <c r="Y28" s="35">
        <v>5</v>
      </c>
      <c r="Z28" s="27">
        <v>60</v>
      </c>
    </row>
    <row r="29" spans="1:26" ht="12.75">
      <c r="A29">
        <f t="shared" si="2"/>
        <v>2011</v>
      </c>
      <c r="B29" t="str">
        <f t="shared" si="1"/>
        <v>April</v>
      </c>
      <c r="C29" s="24">
        <v>40634</v>
      </c>
      <c r="D29" s="81">
        <v>1.97</v>
      </c>
      <c r="E29" s="83">
        <f aca="true" t="shared" si="3" ref="E29:E35">AVERAGE(D4:D29)</f>
        <v>2.266153846153846</v>
      </c>
      <c r="F29" s="51"/>
      <c r="G29">
        <v>5</v>
      </c>
      <c r="H29" s="28">
        <v>5</v>
      </c>
      <c r="I29" s="49">
        <v>39</v>
      </c>
      <c r="J29" s="49">
        <v>126</v>
      </c>
      <c r="K29" s="49">
        <v>252</v>
      </c>
      <c r="L29" s="49">
        <v>0</v>
      </c>
      <c r="M29" s="32">
        <v>5</v>
      </c>
      <c r="N29" s="27">
        <v>240</v>
      </c>
      <c r="O29" s="42">
        <v>0.36</v>
      </c>
      <c r="P29" s="35">
        <f>AVERAGE(O4:O29)</f>
        <v>0.6153846153846154</v>
      </c>
      <c r="Q29" s="42">
        <v>0</v>
      </c>
      <c r="R29">
        <v>5</v>
      </c>
      <c r="S29" s="28">
        <v>5</v>
      </c>
      <c r="T29" s="42">
        <v>15</v>
      </c>
      <c r="U29" s="42">
        <v>45</v>
      </c>
      <c r="V29" s="42">
        <v>137</v>
      </c>
      <c r="W29" s="34">
        <f aca="true" t="shared" si="4" ref="W29:W51">MEDIAN(T4:T28)</f>
        <v>23</v>
      </c>
      <c r="X29" s="42">
        <v>0</v>
      </c>
      <c r="Y29" s="35">
        <v>5</v>
      </c>
      <c r="Z29" s="27">
        <v>60</v>
      </c>
    </row>
    <row r="30" spans="1:26" ht="12.75">
      <c r="A30">
        <f t="shared" si="2"/>
        <v>2011</v>
      </c>
      <c r="B30" t="str">
        <f t="shared" si="1"/>
        <v>May</v>
      </c>
      <c r="C30" s="24">
        <v>40664</v>
      </c>
      <c r="D30" s="81">
        <v>1.86</v>
      </c>
      <c r="E30" s="83">
        <f t="shared" si="3"/>
        <v>2.232307692307692</v>
      </c>
      <c r="F30" s="51"/>
      <c r="G30">
        <v>5</v>
      </c>
      <c r="H30" s="28">
        <v>5</v>
      </c>
      <c r="I30" s="49">
        <v>38</v>
      </c>
      <c r="J30" s="49">
        <v>116</v>
      </c>
      <c r="K30" s="49">
        <v>231</v>
      </c>
      <c r="L30" s="49">
        <v>0</v>
      </c>
      <c r="M30" s="32">
        <v>5</v>
      </c>
      <c r="N30" s="27">
        <v>240</v>
      </c>
      <c r="O30" s="42">
        <v>0.32</v>
      </c>
      <c r="P30" s="35">
        <f>AVERAGE(O5:O30)</f>
        <v>0.5992307692307692</v>
      </c>
      <c r="Q30" s="42">
        <v>0</v>
      </c>
      <c r="R30">
        <v>5</v>
      </c>
      <c r="S30" s="28">
        <v>5</v>
      </c>
      <c r="T30" s="42">
        <v>18</v>
      </c>
      <c r="U30" s="42">
        <v>50</v>
      </c>
      <c r="V30" s="42">
        <v>172</v>
      </c>
      <c r="W30" s="34">
        <f t="shared" si="4"/>
        <v>23</v>
      </c>
      <c r="X30" s="42">
        <v>0</v>
      </c>
      <c r="Y30" s="35">
        <v>5</v>
      </c>
      <c r="Z30" s="27">
        <v>60</v>
      </c>
    </row>
    <row r="31" spans="1:26" ht="12.75">
      <c r="A31">
        <f t="shared" si="2"/>
        <v>2011</v>
      </c>
      <c r="B31" t="str">
        <f t="shared" si="1"/>
        <v>June</v>
      </c>
      <c r="C31" s="24">
        <v>40695</v>
      </c>
      <c r="D31" s="81">
        <v>2.12</v>
      </c>
      <c r="E31" s="83">
        <f t="shared" si="3"/>
        <v>2.2065384615384613</v>
      </c>
      <c r="F31" s="51"/>
      <c r="G31">
        <v>5</v>
      </c>
      <c r="H31" s="28">
        <v>5</v>
      </c>
      <c r="I31" s="49">
        <v>31</v>
      </c>
      <c r="J31" s="49">
        <v>100</v>
      </c>
      <c r="K31" s="49">
        <v>189</v>
      </c>
      <c r="L31" s="49">
        <v>0</v>
      </c>
      <c r="M31" s="32">
        <v>5</v>
      </c>
      <c r="N31" s="27">
        <v>240</v>
      </c>
      <c r="O31" s="42">
        <v>0.32</v>
      </c>
      <c r="P31" s="35">
        <f aca="true" t="shared" si="5" ref="P31:P42">AVERAGE(O6:O31)</f>
        <v>0.5957692307692308</v>
      </c>
      <c r="Q31" s="42">
        <v>0</v>
      </c>
      <c r="R31">
        <v>5</v>
      </c>
      <c r="S31" s="28">
        <v>5</v>
      </c>
      <c r="T31" s="42">
        <v>19</v>
      </c>
      <c r="U31" s="42">
        <v>49</v>
      </c>
      <c r="V31" s="42">
        <v>158</v>
      </c>
      <c r="W31" s="34">
        <f t="shared" si="4"/>
        <v>23</v>
      </c>
      <c r="X31" s="42">
        <v>0</v>
      </c>
      <c r="Y31" s="35">
        <v>5</v>
      </c>
      <c r="Z31" s="27">
        <v>60</v>
      </c>
    </row>
    <row r="32" spans="1:26" ht="12.75">
      <c r="A32">
        <f t="shared" si="2"/>
        <v>2011</v>
      </c>
      <c r="B32" t="str">
        <f t="shared" si="1"/>
        <v>July</v>
      </c>
      <c r="C32" s="24">
        <v>40725</v>
      </c>
      <c r="D32" s="81">
        <v>2.19</v>
      </c>
      <c r="E32" s="83">
        <f t="shared" si="3"/>
        <v>2.189230769230769</v>
      </c>
      <c r="F32" s="51"/>
      <c r="G32">
        <v>5</v>
      </c>
      <c r="H32" s="28">
        <v>5</v>
      </c>
      <c r="I32" s="49">
        <v>37</v>
      </c>
      <c r="J32" s="49">
        <v>119</v>
      </c>
      <c r="K32" s="49">
        <v>256</v>
      </c>
      <c r="L32" s="49">
        <v>0.02</v>
      </c>
      <c r="M32" s="32">
        <v>5</v>
      </c>
      <c r="N32" s="27">
        <v>240</v>
      </c>
      <c r="O32" s="42">
        <v>0.47</v>
      </c>
      <c r="P32" s="35">
        <f t="shared" si="5"/>
        <v>0.5930769230769232</v>
      </c>
      <c r="Q32" s="42">
        <v>0.02</v>
      </c>
      <c r="R32">
        <v>5</v>
      </c>
      <c r="S32" s="28">
        <v>5</v>
      </c>
      <c r="T32" s="42">
        <v>21</v>
      </c>
      <c r="U32" s="42">
        <v>53</v>
      </c>
      <c r="V32" s="42">
        <v>187</v>
      </c>
      <c r="W32" s="34">
        <f t="shared" si="4"/>
        <v>23</v>
      </c>
      <c r="X32" s="42">
        <v>0.02</v>
      </c>
      <c r="Y32" s="35">
        <v>5</v>
      </c>
      <c r="Z32" s="27">
        <v>60</v>
      </c>
    </row>
    <row r="33" spans="1:26" ht="12.75">
      <c r="A33">
        <f t="shared" si="2"/>
        <v>2011</v>
      </c>
      <c r="B33" t="str">
        <f t="shared" si="1"/>
        <v>August</v>
      </c>
      <c r="C33" s="24">
        <v>40756</v>
      </c>
      <c r="D33" s="81">
        <v>3.05</v>
      </c>
      <c r="E33" s="83">
        <f t="shared" si="3"/>
        <v>2.214230769230769</v>
      </c>
      <c r="F33" s="51"/>
      <c r="G33">
        <v>5</v>
      </c>
      <c r="H33" s="28">
        <v>5</v>
      </c>
      <c r="I33" s="42">
        <v>33</v>
      </c>
      <c r="J33" s="42">
        <v>98</v>
      </c>
      <c r="K33" s="42">
        <v>212</v>
      </c>
      <c r="L33" s="49">
        <v>0</v>
      </c>
      <c r="M33" s="32">
        <v>5</v>
      </c>
      <c r="N33" s="27">
        <v>240</v>
      </c>
      <c r="O33" s="42">
        <v>0.31</v>
      </c>
      <c r="P33" s="35">
        <f t="shared" si="5"/>
        <v>0.581923076923077</v>
      </c>
      <c r="Q33" s="42">
        <v>0</v>
      </c>
      <c r="R33">
        <v>5</v>
      </c>
      <c r="S33" s="28">
        <v>5</v>
      </c>
      <c r="T33" s="42">
        <v>18</v>
      </c>
      <c r="U33" s="42">
        <v>48</v>
      </c>
      <c r="V33" s="42">
        <v>114</v>
      </c>
      <c r="W33" s="34">
        <f t="shared" si="4"/>
        <v>23</v>
      </c>
      <c r="X33" s="42">
        <v>0</v>
      </c>
      <c r="Y33" s="35">
        <v>5</v>
      </c>
      <c r="Z33" s="27">
        <v>60</v>
      </c>
    </row>
    <row r="34" spans="1:26" ht="12.75">
      <c r="A34">
        <f t="shared" si="2"/>
        <v>2011</v>
      </c>
      <c r="B34" t="str">
        <f aca="true" t="shared" si="6" ref="B34:B48">VLOOKUP(MONTH(C34),Months,2,FALSE)</f>
        <v>September</v>
      </c>
      <c r="C34" s="24">
        <v>40787</v>
      </c>
      <c r="D34" s="81">
        <v>1.97</v>
      </c>
      <c r="E34" s="83">
        <f t="shared" si="3"/>
        <v>2.2207692307692306</v>
      </c>
      <c r="F34" s="51"/>
      <c r="G34">
        <v>5</v>
      </c>
      <c r="H34" s="28">
        <v>5</v>
      </c>
      <c r="I34" s="49">
        <v>42</v>
      </c>
      <c r="J34" s="49">
        <v>127</v>
      </c>
      <c r="K34" s="49">
        <v>237</v>
      </c>
      <c r="L34" s="49">
        <v>0</v>
      </c>
      <c r="M34" s="32">
        <v>5</v>
      </c>
      <c r="N34" s="27">
        <v>240</v>
      </c>
      <c r="O34" s="42">
        <v>0.29</v>
      </c>
      <c r="P34" s="35">
        <f t="shared" si="5"/>
        <v>0.5680769230769231</v>
      </c>
      <c r="Q34" s="42">
        <v>0</v>
      </c>
      <c r="R34">
        <v>5</v>
      </c>
      <c r="S34" s="28">
        <v>5</v>
      </c>
      <c r="T34" s="42">
        <v>21</v>
      </c>
      <c r="U34" s="42">
        <v>63</v>
      </c>
      <c r="V34" s="42">
        <v>169</v>
      </c>
      <c r="W34" s="34">
        <f t="shared" si="4"/>
        <v>23</v>
      </c>
      <c r="X34" s="42">
        <v>0</v>
      </c>
      <c r="Y34" s="35">
        <v>5</v>
      </c>
      <c r="Z34" s="27">
        <v>60</v>
      </c>
    </row>
    <row r="35" spans="1:26" ht="12.75">
      <c r="A35">
        <f t="shared" si="2"/>
        <v>2011</v>
      </c>
      <c r="B35" t="str">
        <f t="shared" si="6"/>
        <v>October</v>
      </c>
      <c r="C35" s="24">
        <v>40817</v>
      </c>
      <c r="D35" s="82">
        <v>1.68</v>
      </c>
      <c r="E35" s="83">
        <f t="shared" si="3"/>
        <v>2.1946153846153846</v>
      </c>
      <c r="F35" s="53"/>
      <c r="G35">
        <v>5</v>
      </c>
      <c r="H35" s="28">
        <v>5</v>
      </c>
      <c r="I35" s="49">
        <v>42</v>
      </c>
      <c r="J35" s="49">
        <v>132</v>
      </c>
      <c r="K35" s="49">
        <v>238</v>
      </c>
      <c r="L35" s="49">
        <v>0</v>
      </c>
      <c r="M35" s="32">
        <v>5</v>
      </c>
      <c r="N35" s="27">
        <v>240</v>
      </c>
      <c r="O35" s="42">
        <v>0.68</v>
      </c>
      <c r="P35" s="35">
        <f t="shared" si="5"/>
        <v>0.5861538461538461</v>
      </c>
      <c r="Q35" s="42">
        <v>0</v>
      </c>
      <c r="R35">
        <v>5</v>
      </c>
      <c r="S35" s="28">
        <v>5</v>
      </c>
      <c r="T35" s="42">
        <v>20</v>
      </c>
      <c r="U35" s="42">
        <v>59</v>
      </c>
      <c r="V35" s="42">
        <v>218</v>
      </c>
      <c r="W35" s="34">
        <f t="shared" si="4"/>
        <v>23</v>
      </c>
      <c r="X35" s="42">
        <v>0</v>
      </c>
      <c r="Y35" s="42">
        <v>5</v>
      </c>
      <c r="Z35" s="54">
        <v>60</v>
      </c>
    </row>
    <row r="36" spans="1:26" ht="12.75">
      <c r="A36">
        <v>2011</v>
      </c>
      <c r="B36" t="str">
        <f t="shared" si="6"/>
        <v>November</v>
      </c>
      <c r="C36" s="24">
        <v>40848</v>
      </c>
      <c r="D36" s="82">
        <v>2.14</v>
      </c>
      <c r="E36" s="83">
        <f aca="true" t="shared" si="7" ref="E36:E41">AVERAGE(D11:D36)</f>
        <v>2.1819230769230766</v>
      </c>
      <c r="F36" s="53"/>
      <c r="G36">
        <v>5</v>
      </c>
      <c r="H36" s="28">
        <v>5</v>
      </c>
      <c r="I36" s="49">
        <v>46</v>
      </c>
      <c r="J36" s="49">
        <v>133</v>
      </c>
      <c r="K36" s="49">
        <v>238</v>
      </c>
      <c r="L36" s="49">
        <v>0</v>
      </c>
      <c r="M36" s="49">
        <v>5</v>
      </c>
      <c r="N36" s="27">
        <v>240</v>
      </c>
      <c r="O36" s="42">
        <v>0.51</v>
      </c>
      <c r="P36" s="35">
        <f t="shared" si="5"/>
        <v>0.5773076923076922</v>
      </c>
      <c r="Q36" s="42">
        <v>0</v>
      </c>
      <c r="R36">
        <v>5</v>
      </c>
      <c r="S36" s="28">
        <v>5</v>
      </c>
      <c r="T36" s="42">
        <v>22</v>
      </c>
      <c r="U36" s="42">
        <v>59</v>
      </c>
      <c r="V36" s="42">
        <v>175</v>
      </c>
      <c r="W36" s="34">
        <f t="shared" si="4"/>
        <v>23</v>
      </c>
      <c r="X36" s="42">
        <v>0</v>
      </c>
      <c r="Y36" s="42">
        <v>5</v>
      </c>
      <c r="Z36" s="54">
        <v>60</v>
      </c>
    </row>
    <row r="37" spans="1:26" ht="12.75">
      <c r="A37">
        <v>2011</v>
      </c>
      <c r="B37" t="str">
        <f t="shared" si="6"/>
        <v>December</v>
      </c>
      <c r="C37" s="24">
        <v>40878</v>
      </c>
      <c r="D37" s="82">
        <v>1.8</v>
      </c>
      <c r="E37" s="83">
        <f t="shared" si="7"/>
        <v>2.178461538461538</v>
      </c>
      <c r="G37">
        <v>5</v>
      </c>
      <c r="H37" s="28">
        <v>5</v>
      </c>
      <c r="I37" s="49">
        <v>41</v>
      </c>
      <c r="J37" s="49">
        <v>133</v>
      </c>
      <c r="K37" s="49">
        <v>234</v>
      </c>
      <c r="L37" s="49">
        <v>0</v>
      </c>
      <c r="M37" s="49">
        <v>5</v>
      </c>
      <c r="N37" s="27">
        <v>240</v>
      </c>
      <c r="O37" s="42">
        <v>0.45</v>
      </c>
      <c r="P37" s="35">
        <f t="shared" si="5"/>
        <v>0.5623076923076923</v>
      </c>
      <c r="Q37" s="42">
        <v>0</v>
      </c>
      <c r="R37">
        <v>5</v>
      </c>
      <c r="S37" s="28">
        <v>5</v>
      </c>
      <c r="T37" s="42">
        <v>17</v>
      </c>
      <c r="U37" s="42">
        <v>50</v>
      </c>
      <c r="V37" s="42">
        <v>110</v>
      </c>
      <c r="W37" s="34">
        <f t="shared" si="4"/>
        <v>23</v>
      </c>
      <c r="X37" s="42">
        <v>0</v>
      </c>
      <c r="Y37" s="42">
        <v>5</v>
      </c>
      <c r="Z37" s="54">
        <v>60</v>
      </c>
    </row>
    <row r="38" spans="1:26" ht="12.75">
      <c r="A38">
        <v>2012</v>
      </c>
      <c r="B38" t="str">
        <f t="shared" si="6"/>
        <v>January</v>
      </c>
      <c r="C38" s="24">
        <v>40909</v>
      </c>
      <c r="D38" s="26">
        <v>2.7</v>
      </c>
      <c r="E38" s="83">
        <f t="shared" si="7"/>
        <v>2.1842307692307688</v>
      </c>
      <c r="G38">
        <v>5</v>
      </c>
      <c r="H38" s="28">
        <v>5</v>
      </c>
      <c r="I38" s="49">
        <v>39</v>
      </c>
      <c r="J38" s="49">
        <v>125</v>
      </c>
      <c r="K38" s="49">
        <v>228</v>
      </c>
      <c r="L38" s="49">
        <v>0</v>
      </c>
      <c r="M38" s="49">
        <v>5</v>
      </c>
      <c r="N38" s="27">
        <v>240</v>
      </c>
      <c r="O38" s="42">
        <v>0.52</v>
      </c>
      <c r="P38" s="35">
        <f t="shared" si="5"/>
        <v>0.5611538461538461</v>
      </c>
      <c r="Q38" s="42">
        <v>0</v>
      </c>
      <c r="R38">
        <v>5</v>
      </c>
      <c r="S38" s="28">
        <v>5</v>
      </c>
      <c r="T38" s="42">
        <v>17</v>
      </c>
      <c r="U38" s="42">
        <v>46</v>
      </c>
      <c r="V38" s="42">
        <v>216</v>
      </c>
      <c r="W38" s="34">
        <f t="shared" si="4"/>
        <v>23</v>
      </c>
      <c r="X38" s="42">
        <v>0</v>
      </c>
      <c r="Y38" s="42">
        <v>5</v>
      </c>
      <c r="Z38" s="54">
        <v>60</v>
      </c>
    </row>
    <row r="39" spans="1:26" ht="12.75">
      <c r="A39">
        <v>2012</v>
      </c>
      <c r="B39" t="str">
        <f t="shared" si="6"/>
        <v>February</v>
      </c>
      <c r="C39" s="24">
        <v>40940</v>
      </c>
      <c r="D39" s="26">
        <v>2.92</v>
      </c>
      <c r="E39" s="83">
        <f t="shared" si="7"/>
        <v>2.2326923076923073</v>
      </c>
      <c r="G39">
        <v>5</v>
      </c>
      <c r="H39" s="28">
        <v>5</v>
      </c>
      <c r="I39" s="49">
        <v>42</v>
      </c>
      <c r="J39" s="49">
        <v>136</v>
      </c>
      <c r="K39" s="49">
        <v>289</v>
      </c>
      <c r="L39" s="49">
        <v>0</v>
      </c>
      <c r="M39" s="49">
        <v>5</v>
      </c>
      <c r="N39" s="27">
        <v>240</v>
      </c>
      <c r="O39" s="42">
        <v>0.27</v>
      </c>
      <c r="P39" s="35">
        <f t="shared" si="5"/>
        <v>0.5457692307692307</v>
      </c>
      <c r="Q39" s="42">
        <v>0</v>
      </c>
      <c r="R39">
        <v>5</v>
      </c>
      <c r="S39" s="28">
        <v>5</v>
      </c>
      <c r="T39" s="42">
        <v>17</v>
      </c>
      <c r="U39" s="42">
        <v>46</v>
      </c>
      <c r="V39" s="42">
        <v>128</v>
      </c>
      <c r="W39" s="34">
        <f t="shared" si="4"/>
        <v>22</v>
      </c>
      <c r="X39" s="42">
        <v>0</v>
      </c>
      <c r="Y39" s="42">
        <v>5</v>
      </c>
      <c r="Z39" s="54">
        <v>60</v>
      </c>
    </row>
    <row r="40" spans="1:26" ht="12.75">
      <c r="A40">
        <v>2012</v>
      </c>
      <c r="B40" t="str">
        <f t="shared" si="6"/>
        <v>March</v>
      </c>
      <c r="C40" s="24">
        <v>40969</v>
      </c>
      <c r="D40" s="26">
        <v>3.04</v>
      </c>
      <c r="E40" s="83">
        <f t="shared" si="7"/>
        <v>2.281153846153846</v>
      </c>
      <c r="G40">
        <v>5</v>
      </c>
      <c r="H40" s="28">
        <v>5</v>
      </c>
      <c r="I40" s="26">
        <v>48</v>
      </c>
      <c r="J40" s="49">
        <v>152</v>
      </c>
      <c r="K40" s="49">
        <v>230</v>
      </c>
      <c r="L40" s="49">
        <v>0</v>
      </c>
      <c r="M40" s="49">
        <v>5</v>
      </c>
      <c r="N40" s="27">
        <v>240</v>
      </c>
      <c r="O40" s="42">
        <v>0.68</v>
      </c>
      <c r="P40" s="35">
        <f t="shared" si="5"/>
        <v>0.5576923076923076</v>
      </c>
      <c r="Q40" s="42">
        <v>0</v>
      </c>
      <c r="R40">
        <v>5</v>
      </c>
      <c r="S40" s="28">
        <v>5</v>
      </c>
      <c r="T40" s="42">
        <v>18</v>
      </c>
      <c r="U40" s="42">
        <v>46</v>
      </c>
      <c r="V40" s="42">
        <v>123</v>
      </c>
      <c r="W40" s="34">
        <f t="shared" si="4"/>
        <v>22</v>
      </c>
      <c r="X40" s="42">
        <v>0</v>
      </c>
      <c r="Y40" s="42">
        <v>5</v>
      </c>
      <c r="Z40" s="54">
        <v>60</v>
      </c>
    </row>
    <row r="41" spans="1:26" ht="12.75">
      <c r="A41">
        <v>2012</v>
      </c>
      <c r="B41" t="str">
        <f t="shared" si="6"/>
        <v>April</v>
      </c>
      <c r="C41" s="24">
        <v>41000</v>
      </c>
      <c r="D41" s="26">
        <v>2.76</v>
      </c>
      <c r="E41" s="83">
        <f t="shared" si="7"/>
        <v>2.3111538461538457</v>
      </c>
      <c r="G41">
        <v>5</v>
      </c>
      <c r="H41" s="28">
        <v>5</v>
      </c>
      <c r="I41" s="49">
        <v>40</v>
      </c>
      <c r="J41" s="49">
        <v>122</v>
      </c>
      <c r="K41" s="49">
        <v>249</v>
      </c>
      <c r="L41" s="49">
        <v>0</v>
      </c>
      <c r="M41" s="49">
        <v>5</v>
      </c>
      <c r="N41" s="27">
        <v>240</v>
      </c>
      <c r="O41" s="42">
        <v>0.15</v>
      </c>
      <c r="P41" s="35">
        <f t="shared" si="5"/>
        <v>0.5349999999999999</v>
      </c>
      <c r="Q41" s="42">
        <v>0</v>
      </c>
      <c r="R41">
        <v>5</v>
      </c>
      <c r="S41" s="28">
        <v>5</v>
      </c>
      <c r="T41" s="42">
        <v>17</v>
      </c>
      <c r="U41" s="42">
        <v>48</v>
      </c>
      <c r="V41" s="42">
        <v>172</v>
      </c>
      <c r="W41" s="34">
        <f t="shared" si="4"/>
        <v>21</v>
      </c>
      <c r="X41" s="42">
        <v>0</v>
      </c>
      <c r="Y41" s="42">
        <v>5</v>
      </c>
      <c r="Z41" s="54">
        <v>60</v>
      </c>
    </row>
    <row r="42" spans="1:26" ht="12.75">
      <c r="A42">
        <v>2012</v>
      </c>
      <c r="B42" t="str">
        <f t="shared" si="6"/>
        <v>May</v>
      </c>
      <c r="C42" s="24">
        <v>41030</v>
      </c>
      <c r="D42" s="26">
        <v>2.54</v>
      </c>
      <c r="E42" s="83">
        <f aca="true" t="shared" si="8" ref="E42:E50">AVERAGE(D17:D42)</f>
        <v>2.3153846153846147</v>
      </c>
      <c r="G42">
        <v>5</v>
      </c>
      <c r="H42" s="28">
        <v>5</v>
      </c>
      <c r="I42" s="49">
        <v>44</v>
      </c>
      <c r="J42" s="49">
        <v>129</v>
      </c>
      <c r="K42" s="49">
        <v>234</v>
      </c>
      <c r="L42" s="49">
        <v>0.2</v>
      </c>
      <c r="M42" s="49">
        <v>5</v>
      </c>
      <c r="N42" s="27">
        <v>240</v>
      </c>
      <c r="O42" s="42">
        <v>0.54</v>
      </c>
      <c r="P42" s="35">
        <f t="shared" si="5"/>
        <v>0.5269230769230769</v>
      </c>
      <c r="Q42" s="42">
        <v>0</v>
      </c>
      <c r="R42">
        <v>5</v>
      </c>
      <c r="S42" s="28">
        <v>5</v>
      </c>
      <c r="T42" s="42">
        <v>20</v>
      </c>
      <c r="U42" s="42">
        <v>50</v>
      </c>
      <c r="V42" s="42">
        <v>183</v>
      </c>
      <c r="W42" s="34">
        <f t="shared" si="4"/>
        <v>21</v>
      </c>
      <c r="X42" s="42">
        <v>0</v>
      </c>
      <c r="Y42" s="42">
        <v>5</v>
      </c>
      <c r="Z42" s="54">
        <v>60</v>
      </c>
    </row>
    <row r="43" spans="1:26" ht="12.75">
      <c r="A43">
        <v>2012</v>
      </c>
      <c r="B43" t="str">
        <f t="shared" si="6"/>
        <v>June</v>
      </c>
      <c r="C43" s="24">
        <v>41061</v>
      </c>
      <c r="D43" s="26">
        <v>2.62</v>
      </c>
      <c r="E43" s="83">
        <f t="shared" si="8"/>
        <v>2.330384615384615</v>
      </c>
      <c r="G43">
        <v>5</v>
      </c>
      <c r="H43" s="28">
        <v>5</v>
      </c>
      <c r="I43" s="49">
        <v>37</v>
      </c>
      <c r="J43" s="49">
        <v>127</v>
      </c>
      <c r="K43" s="49">
        <v>229</v>
      </c>
      <c r="L43" s="49">
        <v>0.2</v>
      </c>
      <c r="M43" s="49">
        <v>5</v>
      </c>
      <c r="N43" s="27">
        <v>240</v>
      </c>
      <c r="O43" s="42">
        <v>0.22</v>
      </c>
      <c r="P43" s="35">
        <f aca="true" t="shared" si="9" ref="P43:P52">AVERAGE(O18:O43)</f>
        <v>0.5111538461538462</v>
      </c>
      <c r="Q43" s="42">
        <v>0.2</v>
      </c>
      <c r="R43">
        <v>5</v>
      </c>
      <c r="S43" s="28">
        <v>5</v>
      </c>
      <c r="T43" s="42">
        <v>17</v>
      </c>
      <c r="U43" s="42">
        <v>46</v>
      </c>
      <c r="V43" s="42">
        <v>183</v>
      </c>
      <c r="W43" s="34">
        <f t="shared" si="4"/>
        <v>21</v>
      </c>
      <c r="X43" s="42">
        <v>0</v>
      </c>
      <c r="Y43" s="42">
        <v>5</v>
      </c>
      <c r="Z43" s="54">
        <v>60</v>
      </c>
    </row>
    <row r="44" spans="1:26" ht="12.75">
      <c r="A44">
        <v>2012</v>
      </c>
      <c r="B44" t="str">
        <f t="shared" si="6"/>
        <v>July</v>
      </c>
      <c r="C44" s="24">
        <v>41091</v>
      </c>
      <c r="D44" s="90">
        <v>3.19</v>
      </c>
      <c r="E44" s="83">
        <f t="shared" si="8"/>
        <v>2.361538461538461</v>
      </c>
      <c r="G44">
        <v>5</v>
      </c>
      <c r="H44" s="28">
        <v>5</v>
      </c>
      <c r="I44" s="49">
        <v>37</v>
      </c>
      <c r="J44" s="49">
        <v>124</v>
      </c>
      <c r="K44" s="49">
        <v>235</v>
      </c>
      <c r="L44" s="49">
        <v>0</v>
      </c>
      <c r="M44" s="49">
        <v>5</v>
      </c>
      <c r="N44" s="27">
        <v>240</v>
      </c>
      <c r="O44" s="91">
        <v>0.53</v>
      </c>
      <c r="P44" s="35">
        <f t="shared" si="9"/>
        <v>0.4938461538461537</v>
      </c>
      <c r="Q44" s="91">
        <v>0</v>
      </c>
      <c r="R44">
        <v>5</v>
      </c>
      <c r="S44" s="28">
        <v>5</v>
      </c>
      <c r="T44" s="91">
        <v>17</v>
      </c>
      <c r="U44" s="91">
        <v>49</v>
      </c>
      <c r="V44" s="91">
        <v>217</v>
      </c>
      <c r="W44" s="34">
        <f t="shared" si="4"/>
        <v>20</v>
      </c>
      <c r="X44" s="42">
        <v>0</v>
      </c>
      <c r="Y44" s="42">
        <v>5</v>
      </c>
      <c r="Z44" s="54">
        <v>60</v>
      </c>
    </row>
    <row r="45" spans="1:26" ht="12.75">
      <c r="A45">
        <v>2012</v>
      </c>
      <c r="B45" t="str">
        <f t="shared" si="6"/>
        <v>August</v>
      </c>
      <c r="C45" s="24">
        <v>41122</v>
      </c>
      <c r="D45" s="26">
        <v>2.71</v>
      </c>
      <c r="E45" s="83">
        <f t="shared" si="8"/>
        <v>2.3657692307692306</v>
      </c>
      <c r="G45">
        <v>5</v>
      </c>
      <c r="H45" s="28">
        <v>5</v>
      </c>
      <c r="I45" s="49">
        <v>31</v>
      </c>
      <c r="J45" s="49">
        <v>108</v>
      </c>
      <c r="K45" s="49">
        <v>235</v>
      </c>
      <c r="L45" s="49">
        <v>0</v>
      </c>
      <c r="M45" s="49">
        <v>5</v>
      </c>
      <c r="N45" s="28">
        <v>240</v>
      </c>
      <c r="O45" s="91">
        <v>0.21</v>
      </c>
      <c r="P45" s="35">
        <f t="shared" si="9"/>
        <v>0.4788461538461538</v>
      </c>
      <c r="Q45" s="91">
        <v>0</v>
      </c>
      <c r="R45">
        <v>5</v>
      </c>
      <c r="S45" s="28">
        <v>5</v>
      </c>
      <c r="T45" s="91">
        <v>16</v>
      </c>
      <c r="U45" s="91">
        <v>44</v>
      </c>
      <c r="V45" s="91">
        <v>164</v>
      </c>
      <c r="W45" s="34">
        <f t="shared" si="4"/>
        <v>20</v>
      </c>
      <c r="X45" s="42">
        <v>0</v>
      </c>
      <c r="Y45" s="42">
        <v>5</v>
      </c>
      <c r="Z45" s="54">
        <v>60</v>
      </c>
    </row>
    <row r="46" spans="1:26" ht="12.75">
      <c r="A46">
        <v>2012</v>
      </c>
      <c r="B46" t="str">
        <f t="shared" si="6"/>
        <v>September</v>
      </c>
      <c r="C46" s="24">
        <v>41153</v>
      </c>
      <c r="D46" s="26">
        <v>2.05</v>
      </c>
      <c r="E46" s="83">
        <f t="shared" si="8"/>
        <v>2.346538461538461</v>
      </c>
      <c r="G46">
        <v>5</v>
      </c>
      <c r="H46" s="28">
        <v>5</v>
      </c>
      <c r="I46" s="49">
        <v>32</v>
      </c>
      <c r="J46" s="49">
        <v>112</v>
      </c>
      <c r="K46" s="49">
        <v>235</v>
      </c>
      <c r="L46" s="49">
        <v>0</v>
      </c>
      <c r="M46" s="49">
        <v>5</v>
      </c>
      <c r="N46" s="28">
        <v>240</v>
      </c>
      <c r="O46" s="91">
        <v>0.41</v>
      </c>
      <c r="P46" s="35">
        <f t="shared" si="9"/>
        <v>0.4730769230769231</v>
      </c>
      <c r="Q46" s="91">
        <v>0</v>
      </c>
      <c r="R46">
        <v>5</v>
      </c>
      <c r="S46" s="28">
        <v>5</v>
      </c>
      <c r="T46" s="91">
        <v>17</v>
      </c>
      <c r="U46" s="91">
        <v>46</v>
      </c>
      <c r="V46" s="91">
        <v>122</v>
      </c>
      <c r="W46" s="34">
        <f t="shared" si="4"/>
        <v>19</v>
      </c>
      <c r="X46" s="42">
        <v>0</v>
      </c>
      <c r="Y46" s="42">
        <v>5</v>
      </c>
      <c r="Z46" s="54">
        <v>60</v>
      </c>
    </row>
    <row r="47" spans="1:26" ht="12.75">
      <c r="A47">
        <v>2012</v>
      </c>
      <c r="B47" t="str">
        <f t="shared" si="6"/>
        <v>October</v>
      </c>
      <c r="C47" s="24">
        <v>41183</v>
      </c>
      <c r="D47" s="26">
        <v>2.61</v>
      </c>
      <c r="E47" s="83">
        <f t="shared" si="8"/>
        <v>2.3596153846153842</v>
      </c>
      <c r="G47">
        <v>5</v>
      </c>
      <c r="H47" s="28">
        <v>5</v>
      </c>
      <c r="I47" s="49">
        <v>38</v>
      </c>
      <c r="J47" s="49">
        <v>127</v>
      </c>
      <c r="K47" s="49">
        <v>227</v>
      </c>
      <c r="L47" s="49"/>
      <c r="M47" s="49">
        <v>5</v>
      </c>
      <c r="N47" s="28">
        <v>240</v>
      </c>
      <c r="O47" s="91">
        <v>0.43</v>
      </c>
      <c r="P47" s="35">
        <f t="shared" si="9"/>
        <v>0.48461538461538456</v>
      </c>
      <c r="Q47" s="91"/>
      <c r="R47">
        <v>5</v>
      </c>
      <c r="S47" s="28">
        <v>5</v>
      </c>
      <c r="T47" s="91">
        <v>18</v>
      </c>
      <c r="U47" s="91">
        <v>50</v>
      </c>
      <c r="V47" s="91">
        <v>154</v>
      </c>
      <c r="W47" s="34">
        <f t="shared" si="4"/>
        <v>19</v>
      </c>
      <c r="X47" s="42"/>
      <c r="Y47" s="42">
        <v>5</v>
      </c>
      <c r="Z47" s="54">
        <v>60</v>
      </c>
    </row>
    <row r="48" spans="1:26" ht="12.75">
      <c r="A48">
        <v>2012</v>
      </c>
      <c r="B48" t="str">
        <f t="shared" si="6"/>
        <v>November</v>
      </c>
      <c r="C48" s="24">
        <v>41214</v>
      </c>
      <c r="D48" s="26">
        <v>2.47</v>
      </c>
      <c r="E48" s="83">
        <f t="shared" si="8"/>
        <v>2.3565384615384612</v>
      </c>
      <c r="G48">
        <v>5</v>
      </c>
      <c r="H48" s="28">
        <v>5</v>
      </c>
      <c r="I48" s="49">
        <v>44</v>
      </c>
      <c r="J48" s="49">
        <v>142</v>
      </c>
      <c r="K48" s="49">
        <v>234</v>
      </c>
      <c r="L48" s="49"/>
      <c r="M48" s="49">
        <v>5</v>
      </c>
      <c r="N48" s="28">
        <v>240</v>
      </c>
      <c r="O48" s="91">
        <v>0.48</v>
      </c>
      <c r="P48" s="35">
        <f t="shared" si="9"/>
        <v>0.4869230769230769</v>
      </c>
      <c r="Q48" s="91"/>
      <c r="R48">
        <v>5</v>
      </c>
      <c r="S48" s="28">
        <v>5</v>
      </c>
      <c r="T48" s="91">
        <v>19</v>
      </c>
      <c r="U48" s="91">
        <v>54</v>
      </c>
      <c r="V48" s="91">
        <v>213</v>
      </c>
      <c r="W48" s="34">
        <f t="shared" si="4"/>
        <v>18</v>
      </c>
      <c r="X48" s="42"/>
      <c r="Y48" s="42">
        <v>5</v>
      </c>
      <c r="Z48" s="54">
        <v>60</v>
      </c>
    </row>
    <row r="49" spans="1:26" ht="12.75">
      <c r="A49">
        <v>2012</v>
      </c>
      <c r="B49" t="str">
        <f aca="true" t="shared" si="10" ref="B49:B59">VLOOKUP(MONTH(C49),Months,2,FALSE)</f>
        <v>December</v>
      </c>
      <c r="C49" s="24">
        <v>41244</v>
      </c>
      <c r="D49" s="26">
        <v>2.1</v>
      </c>
      <c r="E49" s="83">
        <f t="shared" si="8"/>
        <v>2.3561538461538456</v>
      </c>
      <c r="G49">
        <v>5</v>
      </c>
      <c r="H49" s="28">
        <v>5</v>
      </c>
      <c r="I49" s="49">
        <v>47</v>
      </c>
      <c r="J49" s="49">
        <v>155</v>
      </c>
      <c r="K49" s="49">
        <v>239</v>
      </c>
      <c r="M49" s="49">
        <v>5</v>
      </c>
      <c r="N49" s="28">
        <v>240</v>
      </c>
      <c r="O49" s="91">
        <v>0.49</v>
      </c>
      <c r="P49" s="35">
        <f t="shared" si="9"/>
        <v>0.4673076923076923</v>
      </c>
      <c r="R49" s="92">
        <v>5</v>
      </c>
      <c r="S49" s="28">
        <v>5</v>
      </c>
      <c r="T49" s="91">
        <v>18</v>
      </c>
      <c r="U49" s="91">
        <v>53</v>
      </c>
      <c r="V49" s="91">
        <v>216</v>
      </c>
      <c r="W49" s="34">
        <f t="shared" si="4"/>
        <v>18</v>
      </c>
      <c r="Y49" s="92">
        <v>5</v>
      </c>
      <c r="Z49" s="54">
        <v>60</v>
      </c>
    </row>
    <row r="50" spans="1:26" ht="12.75">
      <c r="A50">
        <v>2013</v>
      </c>
      <c r="B50" t="str">
        <f t="shared" si="10"/>
        <v>January</v>
      </c>
      <c r="C50" s="24">
        <v>41275</v>
      </c>
      <c r="D50" s="26">
        <v>1.83</v>
      </c>
      <c r="E50" s="83">
        <f t="shared" si="8"/>
        <v>2.3534615384615383</v>
      </c>
      <c r="G50">
        <v>5</v>
      </c>
      <c r="H50" s="28">
        <v>5</v>
      </c>
      <c r="I50" s="49">
        <v>38</v>
      </c>
      <c r="J50" s="49">
        <v>143</v>
      </c>
      <c r="K50" s="49">
        <v>294</v>
      </c>
      <c r="M50" s="49">
        <v>5</v>
      </c>
      <c r="N50" s="28">
        <v>240</v>
      </c>
      <c r="O50" s="91">
        <v>0.46</v>
      </c>
      <c r="P50" s="35">
        <f t="shared" si="9"/>
        <v>0.4457692307692308</v>
      </c>
      <c r="R50" s="92">
        <v>5</v>
      </c>
      <c r="S50" s="28">
        <v>5</v>
      </c>
      <c r="T50" s="91">
        <v>17</v>
      </c>
      <c r="U50" s="91">
        <v>50</v>
      </c>
      <c r="V50" s="91">
        <v>186</v>
      </c>
      <c r="W50" s="34">
        <f t="shared" si="4"/>
        <v>18</v>
      </c>
      <c r="Y50" s="92">
        <v>5</v>
      </c>
      <c r="Z50" s="54">
        <v>60</v>
      </c>
    </row>
    <row r="51" spans="1:26" ht="12.75">
      <c r="A51">
        <v>2013</v>
      </c>
      <c r="B51" t="str">
        <f t="shared" si="10"/>
        <v>February</v>
      </c>
      <c r="C51" s="24">
        <v>41306</v>
      </c>
      <c r="D51" s="26">
        <v>1.87</v>
      </c>
      <c r="E51" s="83">
        <f aca="true" t="shared" si="11" ref="E51:E59">AVERAGE(D26:D51)</f>
        <v>2.3461538461538454</v>
      </c>
      <c r="G51">
        <v>5</v>
      </c>
      <c r="H51" s="28">
        <v>5</v>
      </c>
      <c r="I51" s="49">
        <v>43</v>
      </c>
      <c r="J51" s="49">
        <v>160</v>
      </c>
      <c r="K51" s="49">
        <v>235</v>
      </c>
      <c r="M51" s="49">
        <v>5</v>
      </c>
      <c r="N51" s="28">
        <v>240</v>
      </c>
      <c r="O51" s="91">
        <v>0.57</v>
      </c>
      <c r="P51" s="35">
        <f t="shared" si="9"/>
        <v>0.42307692307692313</v>
      </c>
      <c r="R51" s="92">
        <v>5</v>
      </c>
      <c r="S51" s="28">
        <v>5</v>
      </c>
      <c r="T51" s="91">
        <v>21</v>
      </c>
      <c r="U51" s="91">
        <v>58</v>
      </c>
      <c r="V51" s="91">
        <v>164</v>
      </c>
      <c r="W51" s="34">
        <f t="shared" si="4"/>
        <v>18</v>
      </c>
      <c r="Y51" s="92">
        <v>5</v>
      </c>
      <c r="Z51" s="54">
        <v>60</v>
      </c>
    </row>
    <row r="52" spans="1:26" ht="12.75">
      <c r="A52">
        <v>2013</v>
      </c>
      <c r="B52" t="str">
        <f t="shared" si="10"/>
        <v>March</v>
      </c>
      <c r="C52" s="24">
        <v>41334</v>
      </c>
      <c r="D52" s="26">
        <v>2.18</v>
      </c>
      <c r="E52" s="83">
        <f t="shared" si="11"/>
        <v>2.3384615384615377</v>
      </c>
      <c r="G52">
        <v>5</v>
      </c>
      <c r="H52" s="28">
        <v>5</v>
      </c>
      <c r="I52" s="49">
        <v>38</v>
      </c>
      <c r="J52" s="49">
        <v>138</v>
      </c>
      <c r="K52" s="49">
        <v>236</v>
      </c>
      <c r="M52" s="49">
        <v>5</v>
      </c>
      <c r="N52" s="28">
        <v>240</v>
      </c>
      <c r="O52" s="93">
        <v>0.57</v>
      </c>
      <c r="P52" s="35">
        <f t="shared" si="9"/>
        <v>0.42461538461538473</v>
      </c>
      <c r="R52" s="92">
        <v>5</v>
      </c>
      <c r="S52" s="28">
        <v>5</v>
      </c>
      <c r="T52" s="93">
        <v>19</v>
      </c>
      <c r="U52" s="93">
        <v>55</v>
      </c>
      <c r="V52" s="93">
        <v>186</v>
      </c>
      <c r="W52" s="34">
        <f>MEDIAN(T28:T51)</f>
        <v>18</v>
      </c>
      <c r="Y52" s="92">
        <v>5</v>
      </c>
      <c r="Z52" s="54">
        <v>60</v>
      </c>
    </row>
    <row r="53" spans="1:26" ht="12.75">
      <c r="A53">
        <v>2013</v>
      </c>
      <c r="B53" t="str">
        <f t="shared" si="10"/>
        <v>April</v>
      </c>
      <c r="C53" s="24">
        <v>41365</v>
      </c>
      <c r="D53" s="26">
        <v>2.7</v>
      </c>
      <c r="E53" s="83">
        <f t="shared" si="11"/>
        <v>2.3503846153846153</v>
      </c>
      <c r="G53">
        <v>5</v>
      </c>
      <c r="H53" s="28">
        <v>5</v>
      </c>
      <c r="I53" s="49">
        <v>31</v>
      </c>
      <c r="J53" s="49">
        <v>106</v>
      </c>
      <c r="K53" s="49">
        <v>236</v>
      </c>
      <c r="M53" s="49">
        <v>5</v>
      </c>
      <c r="N53" s="28">
        <v>240</v>
      </c>
      <c r="O53" s="93">
        <v>0.19</v>
      </c>
      <c r="P53" s="35">
        <f aca="true" t="shared" si="12" ref="P53:P59">AVERAGE(O28:O53)</f>
        <v>0.42538461538461547</v>
      </c>
      <c r="R53" s="92">
        <v>5</v>
      </c>
      <c r="S53" s="28">
        <v>5</v>
      </c>
      <c r="T53" s="93">
        <v>15</v>
      </c>
      <c r="U53" s="93">
        <v>44</v>
      </c>
      <c r="V53" s="93">
        <v>112</v>
      </c>
      <c r="W53" s="34">
        <f aca="true" t="shared" si="13" ref="W53:W59">MEDIAN(T30:T53)</f>
        <v>18</v>
      </c>
      <c r="Y53" s="92">
        <v>5</v>
      </c>
      <c r="Z53" s="28">
        <v>60</v>
      </c>
    </row>
    <row r="54" spans="1:26" ht="12.75">
      <c r="A54">
        <v>2013</v>
      </c>
      <c r="B54" t="str">
        <f t="shared" si="10"/>
        <v>May</v>
      </c>
      <c r="C54" s="24">
        <v>41395</v>
      </c>
      <c r="D54" s="26">
        <v>2.53</v>
      </c>
      <c r="E54" s="83">
        <f t="shared" si="11"/>
        <v>2.369230769230769</v>
      </c>
      <c r="G54">
        <v>5</v>
      </c>
      <c r="H54" s="28">
        <v>5</v>
      </c>
      <c r="I54" s="49">
        <v>36</v>
      </c>
      <c r="J54" s="49">
        <v>114</v>
      </c>
      <c r="K54" s="49">
        <v>237</v>
      </c>
      <c r="M54" s="49">
        <v>5</v>
      </c>
      <c r="N54" s="28">
        <v>240</v>
      </c>
      <c r="O54" s="93">
        <v>0.35</v>
      </c>
      <c r="P54" s="35">
        <f t="shared" si="12"/>
        <v>0.41461538461538466</v>
      </c>
      <c r="R54" s="92">
        <v>5</v>
      </c>
      <c r="S54" s="28">
        <v>5</v>
      </c>
      <c r="T54" s="93">
        <v>18</v>
      </c>
      <c r="U54" s="93">
        <v>45</v>
      </c>
      <c r="V54" s="93">
        <v>186</v>
      </c>
      <c r="W54" s="94">
        <f t="shared" si="13"/>
        <v>18</v>
      </c>
      <c r="Y54" s="92">
        <v>5</v>
      </c>
      <c r="Z54" s="28">
        <v>60</v>
      </c>
    </row>
    <row r="55" spans="1:26" ht="12.75">
      <c r="A55">
        <v>2013</v>
      </c>
      <c r="B55" t="str">
        <f t="shared" si="10"/>
        <v>June</v>
      </c>
      <c r="C55" s="24">
        <v>41426</v>
      </c>
      <c r="D55" s="26">
        <v>2.59</v>
      </c>
      <c r="E55" s="83">
        <f t="shared" si="11"/>
        <v>2.3930769230769227</v>
      </c>
      <c r="G55">
        <v>5</v>
      </c>
      <c r="H55" s="28">
        <v>5</v>
      </c>
      <c r="I55" s="49">
        <v>31</v>
      </c>
      <c r="J55" s="49">
        <v>101</v>
      </c>
      <c r="K55" s="49">
        <v>326</v>
      </c>
      <c r="M55" s="49">
        <v>5</v>
      </c>
      <c r="N55" s="28">
        <v>240</v>
      </c>
      <c r="O55" s="93">
        <v>0.23</v>
      </c>
      <c r="P55" s="35">
        <f t="shared" si="12"/>
        <v>0.4096153846153847</v>
      </c>
      <c r="R55" s="92">
        <v>5</v>
      </c>
      <c r="S55" s="28">
        <v>5</v>
      </c>
      <c r="T55" s="93">
        <v>16</v>
      </c>
      <c r="U55" s="93">
        <v>49</v>
      </c>
      <c r="V55" s="93">
        <v>157</v>
      </c>
      <c r="W55" s="94">
        <f t="shared" si="13"/>
        <v>18</v>
      </c>
      <c r="Y55" s="92">
        <v>5</v>
      </c>
      <c r="Z55" s="28">
        <v>60</v>
      </c>
    </row>
    <row r="56" spans="1:26" ht="12.75">
      <c r="A56">
        <v>2013</v>
      </c>
      <c r="B56" t="str">
        <f t="shared" si="10"/>
        <v>July</v>
      </c>
      <c r="C56" s="24">
        <v>41456</v>
      </c>
      <c r="D56" s="26">
        <v>2.67</v>
      </c>
      <c r="E56" s="83">
        <f t="shared" si="11"/>
        <v>2.4242307692307694</v>
      </c>
      <c r="G56">
        <v>5</v>
      </c>
      <c r="H56" s="28">
        <v>5</v>
      </c>
      <c r="I56" s="49">
        <v>35</v>
      </c>
      <c r="J56" s="49">
        <v>119</v>
      </c>
      <c r="K56" s="49">
        <v>246</v>
      </c>
      <c r="M56" s="49">
        <v>5</v>
      </c>
      <c r="N56" s="28">
        <v>240</v>
      </c>
      <c r="O56" s="93">
        <v>0.41</v>
      </c>
      <c r="P56" s="35">
        <f t="shared" si="12"/>
        <v>0.4130769230769232</v>
      </c>
      <c r="R56" s="92">
        <v>5</v>
      </c>
      <c r="S56" s="28">
        <v>5</v>
      </c>
      <c r="T56" s="93">
        <v>19</v>
      </c>
      <c r="U56" s="93">
        <v>47</v>
      </c>
      <c r="V56" s="93">
        <v>156</v>
      </c>
      <c r="W56" s="94">
        <f t="shared" si="13"/>
        <v>18</v>
      </c>
      <c r="Y56" s="92">
        <v>5</v>
      </c>
      <c r="Z56" s="28">
        <v>60</v>
      </c>
    </row>
    <row r="57" spans="1:26" ht="12.75">
      <c r="A57">
        <v>2013</v>
      </c>
      <c r="B57" t="str">
        <f t="shared" si="10"/>
        <v>August</v>
      </c>
      <c r="C57" s="24">
        <v>41487</v>
      </c>
      <c r="D57" s="26">
        <v>2.32</v>
      </c>
      <c r="E57" s="83">
        <f t="shared" si="11"/>
        <v>2.4319230769230766</v>
      </c>
      <c r="G57">
        <v>5</v>
      </c>
      <c r="H57" s="28">
        <v>5</v>
      </c>
      <c r="I57" s="49">
        <v>36</v>
      </c>
      <c r="J57" s="49">
        <v>115</v>
      </c>
      <c r="K57" s="49">
        <v>236</v>
      </c>
      <c r="M57" s="49">
        <v>5</v>
      </c>
      <c r="N57" s="28">
        <v>240</v>
      </c>
      <c r="O57" s="93">
        <v>0.36</v>
      </c>
      <c r="P57" s="35">
        <f t="shared" si="12"/>
        <v>0.41461538461538466</v>
      </c>
      <c r="R57" s="92">
        <v>5</v>
      </c>
      <c r="S57" s="28">
        <v>5</v>
      </c>
      <c r="T57" s="93">
        <v>17</v>
      </c>
      <c r="U57" s="93">
        <v>48</v>
      </c>
      <c r="V57" s="93">
        <v>182</v>
      </c>
      <c r="W57" s="94">
        <f t="shared" si="13"/>
        <v>17.5</v>
      </c>
      <c r="Y57" s="92">
        <v>5</v>
      </c>
      <c r="Z57" s="28">
        <v>60</v>
      </c>
    </row>
    <row r="58" spans="1:26" ht="12.75">
      <c r="A58">
        <v>2013</v>
      </c>
      <c r="B58" t="str">
        <f t="shared" si="10"/>
        <v>September</v>
      </c>
      <c r="C58" s="24">
        <v>41518</v>
      </c>
      <c r="D58" s="26">
        <v>1.48</v>
      </c>
      <c r="E58" s="83">
        <f t="shared" si="11"/>
        <v>2.4046153846153846</v>
      </c>
      <c r="G58">
        <v>5</v>
      </c>
      <c r="H58" s="28">
        <v>5</v>
      </c>
      <c r="I58" s="49">
        <v>38</v>
      </c>
      <c r="J58" s="49">
        <v>144</v>
      </c>
      <c r="K58" s="49">
        <v>239</v>
      </c>
      <c r="M58" s="49">
        <v>5</v>
      </c>
      <c r="N58" s="28">
        <v>240</v>
      </c>
      <c r="O58" s="93">
        <v>0.47</v>
      </c>
      <c r="P58" s="35">
        <f t="shared" si="12"/>
        <v>0.4146153846153846</v>
      </c>
      <c r="R58" s="92">
        <v>5</v>
      </c>
      <c r="S58" s="28">
        <v>5</v>
      </c>
      <c r="T58" s="93">
        <v>17</v>
      </c>
      <c r="U58" s="93">
        <v>49</v>
      </c>
      <c r="V58" s="93">
        <v>231</v>
      </c>
      <c r="W58" s="94">
        <f t="shared" si="13"/>
        <v>17</v>
      </c>
      <c r="Y58" s="92">
        <v>5</v>
      </c>
      <c r="Z58" s="28">
        <v>60</v>
      </c>
    </row>
    <row r="59" spans="1:26" ht="12.75">
      <c r="A59">
        <v>2013</v>
      </c>
      <c r="B59" t="str">
        <f t="shared" si="10"/>
        <v>October</v>
      </c>
      <c r="C59" s="24">
        <v>41548</v>
      </c>
      <c r="D59" s="26">
        <v>1.5</v>
      </c>
      <c r="E59" s="83">
        <f t="shared" si="11"/>
        <v>2.3449999999999998</v>
      </c>
      <c r="G59">
        <v>5</v>
      </c>
      <c r="H59" s="28">
        <v>5</v>
      </c>
      <c r="I59" s="49">
        <v>62</v>
      </c>
      <c r="J59" s="49">
        <v>156</v>
      </c>
      <c r="K59" s="49">
        <v>238</v>
      </c>
      <c r="M59" s="49">
        <v>5</v>
      </c>
      <c r="N59" s="28">
        <v>240</v>
      </c>
      <c r="O59" s="93">
        <v>1.5</v>
      </c>
      <c r="P59" s="35">
        <f t="shared" si="12"/>
        <v>0.46038461538461534</v>
      </c>
      <c r="R59" s="92">
        <v>5</v>
      </c>
      <c r="S59" s="28">
        <v>5</v>
      </c>
      <c r="T59" s="93">
        <v>18</v>
      </c>
      <c r="U59" s="93">
        <v>46</v>
      </c>
      <c r="V59" s="93">
        <v>149</v>
      </c>
      <c r="W59" s="94">
        <f t="shared" si="13"/>
        <v>17</v>
      </c>
      <c r="Y59" s="92">
        <v>5</v>
      </c>
      <c r="Z59" s="28">
        <v>60</v>
      </c>
    </row>
    <row r="60" spans="1:26" ht="12.75">
      <c r="A60">
        <v>2013</v>
      </c>
      <c r="B60" t="str">
        <f aca="true" t="shared" si="14" ref="B60:B66">VLOOKUP(MONTH(C60),Months,2,FALSE)</f>
        <v>November</v>
      </c>
      <c r="C60" s="24">
        <v>41579</v>
      </c>
      <c r="D60" s="26">
        <v>0.1</v>
      </c>
      <c r="E60" s="83">
        <f aca="true" t="shared" si="15" ref="E60:E67">AVERAGE(D35:D60)</f>
        <v>2.273076923076923</v>
      </c>
      <c r="G60">
        <v>5</v>
      </c>
      <c r="H60" s="28">
        <v>5</v>
      </c>
      <c r="I60" s="49">
        <v>67</v>
      </c>
      <c r="J60" s="49">
        <v>168</v>
      </c>
      <c r="K60" s="49">
        <v>270</v>
      </c>
      <c r="M60" s="49">
        <v>5</v>
      </c>
      <c r="N60" s="28">
        <v>240</v>
      </c>
      <c r="O60" s="93">
        <v>1.28</v>
      </c>
      <c r="P60" s="35">
        <f aca="true" t="shared" si="16" ref="P60:P67">AVERAGE(O35:O60)</f>
        <v>0.4984615384615384</v>
      </c>
      <c r="R60" s="92">
        <v>5</v>
      </c>
      <c r="S60" s="28">
        <v>5</v>
      </c>
      <c r="T60" s="93">
        <v>17</v>
      </c>
      <c r="U60" s="93">
        <v>45</v>
      </c>
      <c r="V60" s="93">
        <v>130</v>
      </c>
      <c r="W60" s="94">
        <f aca="true" t="shared" si="17" ref="W60:W67">MEDIAN(T37:T60)</f>
        <v>17</v>
      </c>
      <c r="Y60" s="92">
        <v>5</v>
      </c>
      <c r="Z60" s="28">
        <v>60</v>
      </c>
    </row>
    <row r="61" spans="1:26" ht="12.75">
      <c r="A61">
        <v>2013</v>
      </c>
      <c r="B61" t="str">
        <f t="shared" si="14"/>
        <v>December</v>
      </c>
      <c r="C61" s="24">
        <v>41609</v>
      </c>
      <c r="D61" s="26">
        <v>0.03</v>
      </c>
      <c r="E61" s="83">
        <f t="shared" si="15"/>
        <v>2.209615384615385</v>
      </c>
      <c r="G61">
        <v>5</v>
      </c>
      <c r="H61" s="28">
        <v>5</v>
      </c>
      <c r="I61" s="49">
        <v>63</v>
      </c>
      <c r="J61" s="49">
        <v>155</v>
      </c>
      <c r="K61" s="49">
        <v>268</v>
      </c>
      <c r="M61" s="49">
        <v>5</v>
      </c>
      <c r="N61" s="28">
        <v>240</v>
      </c>
      <c r="O61" s="93">
        <v>1.23</v>
      </c>
      <c r="P61" s="35">
        <f t="shared" si="16"/>
        <v>0.5196153846153847</v>
      </c>
      <c r="R61" s="92">
        <v>5</v>
      </c>
      <c r="S61" s="28">
        <v>5</v>
      </c>
      <c r="T61" s="93">
        <v>16</v>
      </c>
      <c r="U61" s="93">
        <v>43</v>
      </c>
      <c r="V61" s="93">
        <v>193</v>
      </c>
      <c r="W61" s="94">
        <f t="shared" si="17"/>
        <v>17</v>
      </c>
      <c r="Y61" s="92">
        <v>5</v>
      </c>
      <c r="Z61" s="28">
        <v>60</v>
      </c>
    </row>
    <row r="62" spans="1:26" ht="12.75">
      <c r="A62">
        <v>2014</v>
      </c>
      <c r="B62" t="str">
        <f t="shared" si="14"/>
        <v>January</v>
      </c>
      <c r="C62" s="24">
        <v>41640</v>
      </c>
      <c r="D62" s="26">
        <v>0.15</v>
      </c>
      <c r="E62" s="83">
        <f t="shared" si="15"/>
        <v>2.1330769230769233</v>
      </c>
      <c r="G62">
        <v>5</v>
      </c>
      <c r="H62" s="28">
        <v>5</v>
      </c>
      <c r="I62" s="49">
        <v>50</v>
      </c>
      <c r="J62" s="49">
        <v>133</v>
      </c>
      <c r="K62" s="49">
        <v>226</v>
      </c>
      <c r="M62" s="49">
        <v>5</v>
      </c>
      <c r="N62" s="28">
        <v>240</v>
      </c>
      <c r="O62" s="93">
        <v>0.6</v>
      </c>
      <c r="P62" s="35">
        <f t="shared" si="16"/>
        <v>0.5230769230769231</v>
      </c>
      <c r="R62" s="92">
        <v>5</v>
      </c>
      <c r="S62" s="28">
        <v>5</v>
      </c>
      <c r="T62" s="93">
        <v>15</v>
      </c>
      <c r="U62" s="93">
        <v>40</v>
      </c>
      <c r="V62" s="93">
        <v>168</v>
      </c>
      <c r="W62" s="94">
        <f t="shared" si="17"/>
        <v>17</v>
      </c>
      <c r="Y62" s="92">
        <v>5</v>
      </c>
      <c r="Z62" s="28">
        <v>60</v>
      </c>
    </row>
    <row r="63" spans="1:26" ht="12.75">
      <c r="A63">
        <v>2014</v>
      </c>
      <c r="B63" t="str">
        <f t="shared" si="14"/>
        <v>February</v>
      </c>
      <c r="C63" s="24">
        <v>41671</v>
      </c>
      <c r="D63" s="26">
        <v>0.26</v>
      </c>
      <c r="E63" s="83">
        <f t="shared" si="15"/>
        <v>2.073846153846154</v>
      </c>
      <c r="G63">
        <v>5</v>
      </c>
      <c r="H63" s="28">
        <v>5</v>
      </c>
      <c r="I63" s="49">
        <v>60</v>
      </c>
      <c r="J63" s="49">
        <v>164</v>
      </c>
      <c r="K63" s="49">
        <v>298</v>
      </c>
      <c r="M63" s="49">
        <v>5</v>
      </c>
      <c r="N63" s="28">
        <v>240</v>
      </c>
      <c r="O63" s="93">
        <v>1.15</v>
      </c>
      <c r="P63" s="35">
        <f t="shared" si="16"/>
        <v>0.55</v>
      </c>
      <c r="R63" s="92">
        <v>5</v>
      </c>
      <c r="S63" s="28">
        <v>5</v>
      </c>
      <c r="T63" s="93">
        <v>17</v>
      </c>
      <c r="U63" s="93">
        <v>45</v>
      </c>
      <c r="V63" s="93">
        <v>130</v>
      </c>
      <c r="W63" s="94">
        <f t="shared" si="17"/>
        <v>17</v>
      </c>
      <c r="Y63" s="92">
        <v>5</v>
      </c>
      <c r="Z63" s="28">
        <v>60</v>
      </c>
    </row>
    <row r="64" spans="1:26" ht="12.75">
      <c r="A64">
        <v>2014</v>
      </c>
      <c r="B64" t="str">
        <f t="shared" si="14"/>
        <v>March</v>
      </c>
      <c r="C64" s="24">
        <v>41699</v>
      </c>
      <c r="D64" s="26">
        <v>0.03</v>
      </c>
      <c r="E64" s="83">
        <f t="shared" si="15"/>
        <v>1.9711538461538465</v>
      </c>
      <c r="G64">
        <v>5</v>
      </c>
      <c r="H64" s="28">
        <v>5</v>
      </c>
      <c r="I64" s="49">
        <v>67</v>
      </c>
      <c r="J64" s="49">
        <v>168</v>
      </c>
      <c r="K64" s="49">
        <v>237</v>
      </c>
      <c r="M64" s="49">
        <v>5</v>
      </c>
      <c r="N64" s="28">
        <v>240</v>
      </c>
      <c r="O64" s="93">
        <v>1.26</v>
      </c>
      <c r="P64" s="35">
        <f t="shared" si="16"/>
        <v>0.5784615384615385</v>
      </c>
      <c r="R64" s="92">
        <v>5</v>
      </c>
      <c r="S64" s="28">
        <v>5</v>
      </c>
      <c r="T64" s="93">
        <v>19</v>
      </c>
      <c r="U64" s="93">
        <v>52</v>
      </c>
      <c r="V64" s="93">
        <v>188</v>
      </c>
      <c r="W64" s="94">
        <f t="shared" si="17"/>
        <v>17</v>
      </c>
      <c r="Y64" s="92">
        <v>5</v>
      </c>
      <c r="Z64" s="28">
        <v>60</v>
      </c>
    </row>
    <row r="65" spans="1:26" ht="12.75">
      <c r="A65">
        <v>2014</v>
      </c>
      <c r="B65" t="str">
        <f t="shared" si="14"/>
        <v>April</v>
      </c>
      <c r="C65" s="24">
        <v>41730</v>
      </c>
      <c r="D65" s="26">
        <v>0</v>
      </c>
      <c r="E65" s="83">
        <f t="shared" si="15"/>
        <v>1.858846153846154</v>
      </c>
      <c r="G65">
        <v>5</v>
      </c>
      <c r="H65" s="28">
        <v>5</v>
      </c>
      <c r="I65" s="49">
        <v>56</v>
      </c>
      <c r="J65" s="49">
        <v>148</v>
      </c>
      <c r="K65" s="49">
        <v>238</v>
      </c>
      <c r="M65" s="49">
        <v>5</v>
      </c>
      <c r="N65" s="28">
        <v>240</v>
      </c>
      <c r="O65" s="93">
        <v>1.16</v>
      </c>
      <c r="P65" s="35">
        <f t="shared" si="16"/>
        <v>0.6126923076923078</v>
      </c>
      <c r="R65" s="92">
        <v>5</v>
      </c>
      <c r="S65" s="28">
        <v>5</v>
      </c>
      <c r="T65" s="93">
        <v>17</v>
      </c>
      <c r="U65" s="93">
        <v>47</v>
      </c>
      <c r="V65" s="93">
        <v>207</v>
      </c>
      <c r="W65" s="94">
        <f t="shared" si="17"/>
        <v>17</v>
      </c>
      <c r="Y65" s="92">
        <v>5</v>
      </c>
      <c r="Z65" s="28">
        <v>60</v>
      </c>
    </row>
    <row r="66" spans="1:26" ht="12.75">
      <c r="A66">
        <v>2014</v>
      </c>
      <c r="B66" t="str">
        <f t="shared" si="14"/>
        <v>May</v>
      </c>
      <c r="C66" s="24">
        <v>41760</v>
      </c>
      <c r="D66" s="26">
        <v>0</v>
      </c>
      <c r="E66" s="83">
        <f t="shared" si="15"/>
        <v>1.741923076923077</v>
      </c>
      <c r="G66">
        <v>5</v>
      </c>
      <c r="H66" s="28">
        <v>5</v>
      </c>
      <c r="I66" s="49">
        <v>52</v>
      </c>
      <c r="J66" s="49">
        <v>153</v>
      </c>
      <c r="K66" s="49">
        <v>239</v>
      </c>
      <c r="M66" s="49">
        <v>5</v>
      </c>
      <c r="N66" s="28">
        <v>240</v>
      </c>
      <c r="O66" s="93">
        <v>1.03</v>
      </c>
      <c r="P66" s="35">
        <f t="shared" si="16"/>
        <v>0.6261538461538462</v>
      </c>
      <c r="R66" s="92">
        <v>5</v>
      </c>
      <c r="S66" s="28">
        <v>5</v>
      </c>
      <c r="T66" s="93">
        <v>15</v>
      </c>
      <c r="U66" s="93">
        <v>41</v>
      </c>
      <c r="V66" s="93">
        <v>236</v>
      </c>
      <c r="W66" s="94">
        <f t="shared" si="17"/>
        <v>17</v>
      </c>
      <c r="Y66" s="92">
        <v>5</v>
      </c>
      <c r="Z66" s="28">
        <v>60</v>
      </c>
    </row>
    <row r="67" spans="1:26" ht="12.75">
      <c r="A67">
        <v>2014</v>
      </c>
      <c r="B67" t="str">
        <f>VLOOKUP(MONTH(C67),Months,2,FALSE)</f>
        <v>June</v>
      </c>
      <c r="C67" s="24">
        <v>41791</v>
      </c>
      <c r="D67" s="26">
        <v>0.03</v>
      </c>
      <c r="E67" s="83">
        <f t="shared" si="15"/>
        <v>1.6369230769230767</v>
      </c>
      <c r="G67">
        <v>5</v>
      </c>
      <c r="H67" s="28">
        <v>5</v>
      </c>
      <c r="I67" s="49">
        <v>53</v>
      </c>
      <c r="J67" s="49">
        <v>150</v>
      </c>
      <c r="K67" s="49">
        <v>237</v>
      </c>
      <c r="M67" s="49">
        <v>5</v>
      </c>
      <c r="N67" s="28">
        <v>240</v>
      </c>
      <c r="O67" s="93">
        <v>1.21</v>
      </c>
      <c r="P67" s="35">
        <f t="shared" si="16"/>
        <v>0.6669230769230771</v>
      </c>
      <c r="R67" s="92">
        <v>5</v>
      </c>
      <c r="S67" s="28">
        <v>5</v>
      </c>
      <c r="T67" s="93">
        <v>17</v>
      </c>
      <c r="U67" s="93">
        <v>49</v>
      </c>
      <c r="V67" s="93">
        <v>212</v>
      </c>
      <c r="W67" s="94">
        <f t="shared" si="17"/>
        <v>17</v>
      </c>
      <c r="Y67" s="92">
        <v>5</v>
      </c>
      <c r="Z67" s="28">
        <v>60</v>
      </c>
    </row>
    <row r="68" spans="1:26" ht="12.75">
      <c r="A68">
        <v>2014</v>
      </c>
      <c r="B68" t="str">
        <f>VLOOKUP(MONTH(C68),Months,2,FALSE)</f>
        <v>July</v>
      </c>
      <c r="C68" s="24">
        <v>41821</v>
      </c>
      <c r="D68" s="26">
        <v>0.03</v>
      </c>
      <c r="E68" s="83">
        <f aca="true" t="shared" si="18" ref="E68:E73">AVERAGE(D43:D68)</f>
        <v>1.5403846153846152</v>
      </c>
      <c r="G68">
        <v>5</v>
      </c>
      <c r="H68" s="28">
        <v>5</v>
      </c>
      <c r="I68" s="49">
        <v>64</v>
      </c>
      <c r="J68" s="49">
        <v>173</v>
      </c>
      <c r="K68" s="49">
        <v>263</v>
      </c>
      <c r="M68" s="49">
        <v>5</v>
      </c>
      <c r="N68" s="28">
        <v>240</v>
      </c>
      <c r="O68" s="93">
        <v>1.52</v>
      </c>
      <c r="P68" s="35">
        <f aca="true" t="shared" si="19" ref="P68:P73">AVERAGE(O43:O68)</f>
        <v>0.7046153846153846</v>
      </c>
      <c r="R68" s="92">
        <v>5</v>
      </c>
      <c r="S68" s="28">
        <v>5</v>
      </c>
      <c r="T68" s="93">
        <v>20</v>
      </c>
      <c r="U68" s="93">
        <v>52</v>
      </c>
      <c r="V68" s="93">
        <v>203</v>
      </c>
      <c r="W68" s="94">
        <f aca="true" t="shared" si="20" ref="W68:W73">MEDIAN(T45:T68)</f>
        <v>17</v>
      </c>
      <c r="Y68" s="92">
        <v>5</v>
      </c>
      <c r="Z68" s="28">
        <v>60</v>
      </c>
    </row>
    <row r="69" spans="1:26" ht="12.75">
      <c r="A69">
        <v>2014</v>
      </c>
      <c r="B69" t="s">
        <v>42</v>
      </c>
      <c r="C69" s="24">
        <v>41852</v>
      </c>
      <c r="D69" s="26">
        <v>0</v>
      </c>
      <c r="E69" s="83">
        <f t="shared" si="18"/>
        <v>1.4396153846153845</v>
      </c>
      <c r="G69">
        <v>5</v>
      </c>
      <c r="H69" s="28">
        <v>5</v>
      </c>
      <c r="I69" s="49">
        <v>63</v>
      </c>
      <c r="J69" s="49">
        <v>165</v>
      </c>
      <c r="K69" s="49">
        <v>243</v>
      </c>
      <c r="M69" s="49">
        <v>5</v>
      </c>
      <c r="N69" s="28">
        <v>240</v>
      </c>
      <c r="O69">
        <v>0.889914304548451</v>
      </c>
      <c r="P69" s="35">
        <f t="shared" si="19"/>
        <v>0.7303813194057096</v>
      </c>
      <c r="R69" s="92">
        <v>5</v>
      </c>
      <c r="S69" s="28">
        <v>5</v>
      </c>
      <c r="T69" s="93">
        <v>16</v>
      </c>
      <c r="U69" s="93">
        <v>43</v>
      </c>
      <c r="V69" s="93">
        <v>240</v>
      </c>
      <c r="W69" s="94">
        <f t="shared" si="20"/>
        <v>17</v>
      </c>
      <c r="Y69" s="92">
        <v>5</v>
      </c>
      <c r="Z69" s="28">
        <v>60</v>
      </c>
    </row>
    <row r="70" spans="1:26" ht="12.75">
      <c r="A70">
        <v>2014</v>
      </c>
      <c r="B70" t="s">
        <v>43</v>
      </c>
      <c r="C70" s="24">
        <v>41883</v>
      </c>
      <c r="D70" s="26">
        <v>0.26801667659321</v>
      </c>
      <c r="E70" s="83">
        <f t="shared" si="18"/>
        <v>1.3272314106382006</v>
      </c>
      <c r="G70">
        <v>5</v>
      </c>
      <c r="H70" s="28">
        <v>5</v>
      </c>
      <c r="I70" s="49">
        <v>56</v>
      </c>
      <c r="J70" s="49">
        <v>159</v>
      </c>
      <c r="K70" s="49">
        <v>238</v>
      </c>
      <c r="M70" s="49">
        <v>5</v>
      </c>
      <c r="N70" s="28">
        <v>240</v>
      </c>
      <c r="O70">
        <v>1.01250744490768</v>
      </c>
      <c r="P70" s="35">
        <f t="shared" si="19"/>
        <v>0.748939298056005</v>
      </c>
      <c r="R70" s="92">
        <v>5</v>
      </c>
      <c r="S70" s="28">
        <v>5</v>
      </c>
      <c r="T70" s="93">
        <v>20</v>
      </c>
      <c r="U70" s="93">
        <v>52</v>
      </c>
      <c r="V70" s="93">
        <v>225</v>
      </c>
      <c r="W70" s="94">
        <f t="shared" si="20"/>
        <v>17</v>
      </c>
      <c r="Y70" s="92">
        <v>5</v>
      </c>
      <c r="Z70" s="28">
        <v>60</v>
      </c>
    </row>
    <row r="71" spans="1:26" ht="12.75">
      <c r="A71">
        <v>2014</v>
      </c>
      <c r="B71" t="s">
        <v>44</v>
      </c>
      <c r="C71" s="24">
        <v>41913</v>
      </c>
      <c r="D71" s="26">
        <v>0.0958160332162248</v>
      </c>
      <c r="E71" s="83">
        <f t="shared" si="18"/>
        <v>1.2266858734542092</v>
      </c>
      <c r="G71">
        <v>5</v>
      </c>
      <c r="H71" s="28">
        <v>5</v>
      </c>
      <c r="I71" s="49">
        <v>63</v>
      </c>
      <c r="J71" s="49">
        <v>154</v>
      </c>
      <c r="K71" s="49">
        <v>239</v>
      </c>
      <c r="M71" s="49">
        <v>5</v>
      </c>
      <c r="N71" s="28">
        <v>240</v>
      </c>
      <c r="O71">
        <v>0.830405621207282</v>
      </c>
      <c r="P71" s="35">
        <f t="shared" si="19"/>
        <v>0.7728010527178236</v>
      </c>
      <c r="R71" s="92">
        <v>5</v>
      </c>
      <c r="S71" s="28">
        <v>5</v>
      </c>
      <c r="T71" s="93">
        <v>20</v>
      </c>
      <c r="U71" s="93">
        <v>51</v>
      </c>
      <c r="V71" s="93">
        <v>202</v>
      </c>
      <c r="W71" s="94">
        <f t="shared" si="20"/>
        <v>17</v>
      </c>
      <c r="Y71" s="92">
        <v>5</v>
      </c>
      <c r="Z71" s="28">
        <v>60</v>
      </c>
    </row>
    <row r="72" spans="1:26" ht="12.75">
      <c r="A72">
        <v>2014</v>
      </c>
      <c r="B72" t="s">
        <v>45</v>
      </c>
      <c r="C72" s="24">
        <v>41944</v>
      </c>
      <c r="D72">
        <v>0.228608752449379</v>
      </c>
      <c r="E72" s="83">
        <f t="shared" si="18"/>
        <v>1.1566323639330314</v>
      </c>
      <c r="G72">
        <v>5</v>
      </c>
      <c r="H72" s="28">
        <v>5</v>
      </c>
      <c r="I72" s="49">
        <v>70</v>
      </c>
      <c r="J72" s="49">
        <v>173</v>
      </c>
      <c r="K72" s="49">
        <v>363</v>
      </c>
      <c r="M72" s="49">
        <v>5</v>
      </c>
      <c r="N72" s="28">
        <v>240</v>
      </c>
      <c r="O72" s="26">
        <v>1.07772697583279</v>
      </c>
      <c r="P72" s="35">
        <f t="shared" si="19"/>
        <v>0.7984828594806233</v>
      </c>
      <c r="R72" s="92">
        <v>5</v>
      </c>
      <c r="S72" s="28">
        <v>5</v>
      </c>
      <c r="T72" s="93">
        <v>18</v>
      </c>
      <c r="U72" s="93">
        <v>48</v>
      </c>
      <c r="V72" s="93">
        <v>236</v>
      </c>
      <c r="W72" s="94">
        <f t="shared" si="20"/>
        <v>17</v>
      </c>
      <c r="Y72" s="92">
        <v>5</v>
      </c>
      <c r="Z72" s="28">
        <v>60</v>
      </c>
    </row>
    <row r="73" spans="1:26" ht="12.75">
      <c r="A73">
        <v>2014</v>
      </c>
      <c r="B73" t="s">
        <v>46</v>
      </c>
      <c r="C73" s="24">
        <v>41974</v>
      </c>
      <c r="D73">
        <v>0.0592241634586911</v>
      </c>
      <c r="E73" s="83">
        <f t="shared" si="18"/>
        <v>1.0585256009891348</v>
      </c>
      <c r="G73">
        <v>5</v>
      </c>
      <c r="H73" s="28">
        <v>5</v>
      </c>
      <c r="I73" s="49">
        <v>86</v>
      </c>
      <c r="J73" s="49">
        <v>210</v>
      </c>
      <c r="K73" s="49">
        <v>333</v>
      </c>
      <c r="M73" s="49">
        <v>5</v>
      </c>
      <c r="N73" s="28">
        <v>240</v>
      </c>
      <c r="O73" s="26">
        <v>1.86556114894877</v>
      </c>
      <c r="P73" s="35">
        <f t="shared" si="19"/>
        <v>0.8536967498248067</v>
      </c>
      <c r="R73" s="92">
        <v>5</v>
      </c>
      <c r="S73" s="28">
        <v>5</v>
      </c>
      <c r="T73" s="93">
        <v>20</v>
      </c>
      <c r="U73" s="93">
        <v>50</v>
      </c>
      <c r="V73" s="93">
        <v>186</v>
      </c>
      <c r="W73" s="94">
        <f t="shared" si="20"/>
        <v>17</v>
      </c>
      <c r="Y73" s="92">
        <v>5</v>
      </c>
      <c r="Z73" s="28">
        <v>60</v>
      </c>
    </row>
    <row r="74" spans="1:26" ht="12.75">
      <c r="A74">
        <v>2015</v>
      </c>
      <c r="B74" t="s">
        <v>35</v>
      </c>
      <c r="C74" s="24">
        <v>42005</v>
      </c>
      <c r="D74">
        <v>0.0604960677555959</v>
      </c>
      <c r="E74" s="83">
        <f aca="true" t="shared" si="21" ref="E74:E79">AVERAGE(D49:D74)</f>
        <v>0.9658523728258886</v>
      </c>
      <c r="G74">
        <v>5</v>
      </c>
      <c r="H74" s="28">
        <v>5</v>
      </c>
      <c r="I74" s="49">
        <v>72</v>
      </c>
      <c r="J74" s="49">
        <v>197</v>
      </c>
      <c r="K74" s="49">
        <v>284</v>
      </c>
      <c r="M74" s="49">
        <v>5</v>
      </c>
      <c r="N74" s="28">
        <v>240</v>
      </c>
      <c r="O74" s="26">
        <v>1.11917725347852</v>
      </c>
      <c r="P74" s="35">
        <f aca="true" t="shared" si="22" ref="P74:P79">AVERAGE(O49:O74)</f>
        <v>0.8782804903432113</v>
      </c>
      <c r="R74" s="92">
        <v>5</v>
      </c>
      <c r="S74" s="28">
        <v>5</v>
      </c>
      <c r="T74" s="93">
        <v>15</v>
      </c>
      <c r="U74" s="93">
        <v>41</v>
      </c>
      <c r="V74" s="93">
        <v>108</v>
      </c>
      <c r="W74" s="94">
        <f aca="true" t="shared" si="23" ref="W74:W79">MEDIAN(T51:T74)</f>
        <v>17</v>
      </c>
      <c r="Y74" s="92">
        <v>5</v>
      </c>
      <c r="Z74" s="28">
        <v>60</v>
      </c>
    </row>
    <row r="75" spans="1:26" ht="12.75">
      <c r="A75">
        <v>2015</v>
      </c>
      <c r="B75" t="s">
        <v>36</v>
      </c>
      <c r="C75" s="24">
        <v>42036</v>
      </c>
      <c r="D75" s="26">
        <v>0.0689417442261289</v>
      </c>
      <c r="E75" s="83">
        <f t="shared" si="21"/>
        <v>0.8877347476038169</v>
      </c>
      <c r="G75">
        <v>5</v>
      </c>
      <c r="H75" s="28">
        <v>5</v>
      </c>
      <c r="I75" s="49">
        <v>80</v>
      </c>
      <c r="J75" s="49">
        <v>194</v>
      </c>
      <c r="K75" s="49">
        <v>276</v>
      </c>
      <c r="M75" s="49">
        <v>5</v>
      </c>
      <c r="N75" s="28">
        <v>240</v>
      </c>
      <c r="O75">
        <v>0.62047569803516</v>
      </c>
      <c r="P75" s="35">
        <f t="shared" si="22"/>
        <v>0.8832987864214867</v>
      </c>
      <c r="R75" s="92">
        <v>5</v>
      </c>
      <c r="S75" s="28">
        <v>5</v>
      </c>
      <c r="T75" s="93">
        <v>16</v>
      </c>
      <c r="U75" s="93">
        <v>40</v>
      </c>
      <c r="V75" s="93">
        <v>223</v>
      </c>
      <c r="W75" s="94">
        <f t="shared" si="23"/>
        <v>17</v>
      </c>
      <c r="Y75" s="92">
        <v>5</v>
      </c>
      <c r="Z75" s="28">
        <v>60</v>
      </c>
    </row>
    <row r="76" spans="1:26" ht="12.75">
      <c r="A76">
        <v>2015</v>
      </c>
      <c r="B76" s="95" t="s">
        <v>37</v>
      </c>
      <c r="C76" s="24">
        <v>42064</v>
      </c>
      <c r="D76" s="26">
        <v>0.029708853238265</v>
      </c>
      <c r="E76" s="83">
        <f t="shared" si="21"/>
        <v>0.8184927804206731</v>
      </c>
      <c r="G76">
        <v>5</v>
      </c>
      <c r="H76" s="28">
        <v>5</v>
      </c>
      <c r="I76" s="49">
        <v>72</v>
      </c>
      <c r="J76" s="49">
        <v>204</v>
      </c>
      <c r="K76" s="49">
        <v>316</v>
      </c>
      <c r="M76" s="49">
        <v>5</v>
      </c>
      <c r="N76" s="28">
        <v>240</v>
      </c>
      <c r="O76">
        <v>0.578562728380024</v>
      </c>
      <c r="P76" s="35">
        <f t="shared" si="22"/>
        <v>0.88785889135918</v>
      </c>
      <c r="R76" s="92">
        <v>5</v>
      </c>
      <c r="S76" s="28">
        <v>5</v>
      </c>
      <c r="T76" s="93">
        <v>17</v>
      </c>
      <c r="U76" s="93">
        <v>43</v>
      </c>
      <c r="V76" s="93">
        <v>111</v>
      </c>
      <c r="W76" s="94">
        <f t="shared" si="23"/>
        <v>17</v>
      </c>
      <c r="Y76" s="92">
        <v>5</v>
      </c>
      <c r="Z76" s="28">
        <v>60</v>
      </c>
    </row>
    <row r="77" spans="1:26" ht="12.75">
      <c r="A77">
        <v>2015</v>
      </c>
      <c r="B77" s="95" t="s">
        <v>38</v>
      </c>
      <c r="C77" s="24">
        <v>42095</v>
      </c>
      <c r="D77" s="26">
        <v>0.189753320683112</v>
      </c>
      <c r="E77" s="83">
        <f t="shared" si="21"/>
        <v>0.7538679081392543</v>
      </c>
      <c r="G77">
        <v>5</v>
      </c>
      <c r="H77" s="28">
        <v>5</v>
      </c>
      <c r="I77" s="49">
        <v>62</v>
      </c>
      <c r="J77" s="49">
        <v>182</v>
      </c>
      <c r="K77" s="49">
        <v>310</v>
      </c>
      <c r="M77" s="49">
        <v>5</v>
      </c>
      <c r="N77" s="28">
        <v>240</v>
      </c>
      <c r="O77">
        <v>0.569259962049336</v>
      </c>
      <c r="P77" s="35">
        <f t="shared" si="22"/>
        <v>0.8878304283610775</v>
      </c>
      <c r="R77" s="92">
        <v>5</v>
      </c>
      <c r="S77" s="28">
        <v>5</v>
      </c>
      <c r="T77" s="93">
        <v>15</v>
      </c>
      <c r="U77" s="93">
        <v>36</v>
      </c>
      <c r="V77" s="93">
        <v>84</v>
      </c>
      <c r="W77" s="94">
        <f t="shared" si="23"/>
        <v>17</v>
      </c>
      <c r="Y77" s="92">
        <v>5</v>
      </c>
      <c r="Z77" s="28">
        <v>60</v>
      </c>
    </row>
    <row r="78" spans="1:26" ht="12.75">
      <c r="A78">
        <v>2015</v>
      </c>
      <c r="B78" s="95" t="s">
        <v>39</v>
      </c>
      <c r="C78" s="24">
        <v>42125</v>
      </c>
      <c r="D78" s="26">
        <v>0</v>
      </c>
      <c r="E78" s="83">
        <f t="shared" si="21"/>
        <v>0.6700217542931005</v>
      </c>
      <c r="G78">
        <v>5</v>
      </c>
      <c r="H78" s="28">
        <v>5</v>
      </c>
      <c r="I78" s="49">
        <v>57</v>
      </c>
      <c r="J78" s="49">
        <v>176</v>
      </c>
      <c r="K78" s="49">
        <v>290</v>
      </c>
      <c r="M78" s="49">
        <v>5</v>
      </c>
      <c r="N78" s="28">
        <v>240</v>
      </c>
      <c r="O78">
        <v>0.193986420950533</v>
      </c>
      <c r="P78" s="35">
        <f t="shared" si="22"/>
        <v>0.8733683676284058</v>
      </c>
      <c r="R78" s="92">
        <v>5</v>
      </c>
      <c r="S78" s="28">
        <v>5</v>
      </c>
      <c r="T78" s="93">
        <v>11</v>
      </c>
      <c r="U78" s="93">
        <v>32</v>
      </c>
      <c r="V78" s="93">
        <v>65</v>
      </c>
      <c r="W78" s="94">
        <f t="shared" si="23"/>
        <v>17</v>
      </c>
      <c r="Y78" s="92">
        <v>5</v>
      </c>
      <c r="Z78" s="28">
        <v>60</v>
      </c>
    </row>
    <row r="79" spans="1:26" ht="12.75">
      <c r="A79">
        <v>2015</v>
      </c>
      <c r="B79" s="95" t="s">
        <v>40</v>
      </c>
      <c r="C79" s="24">
        <v>42156</v>
      </c>
      <c r="D79" s="26">
        <v>0</v>
      </c>
      <c r="E79" s="83">
        <f t="shared" si="21"/>
        <v>0.5661756004469463</v>
      </c>
      <c r="G79">
        <v>5</v>
      </c>
      <c r="H79" s="28">
        <v>5</v>
      </c>
      <c r="I79" s="49">
        <v>57</v>
      </c>
      <c r="J79" s="49">
        <v>154</v>
      </c>
      <c r="K79" s="49">
        <v>320</v>
      </c>
      <c r="M79" s="49">
        <v>5</v>
      </c>
      <c r="N79" s="28">
        <v>240</v>
      </c>
      <c r="O79">
        <v>0</v>
      </c>
      <c r="P79" s="35">
        <f t="shared" si="22"/>
        <v>0.8660606753207134</v>
      </c>
      <c r="R79" s="92">
        <v>5</v>
      </c>
      <c r="S79" s="28">
        <v>5</v>
      </c>
      <c r="T79" s="93">
        <v>9</v>
      </c>
      <c r="U79" s="93">
        <v>24</v>
      </c>
      <c r="V79" s="93">
        <v>70</v>
      </c>
      <c r="W79" s="94">
        <f t="shared" si="23"/>
        <v>17</v>
      </c>
      <c r="Y79" s="92">
        <v>5</v>
      </c>
      <c r="Z79" s="28">
        <v>60</v>
      </c>
    </row>
    <row r="80" spans="1:26" ht="12.75">
      <c r="A80">
        <v>2015</v>
      </c>
      <c r="B80" s="95" t="s">
        <v>41</v>
      </c>
      <c r="C80" s="24">
        <v>42186</v>
      </c>
      <c r="D80" s="26">
        <v>0</v>
      </c>
      <c r="E80" s="83">
        <f aca="true" t="shared" si="24" ref="E80:E85">AVERAGE(D55:D80)</f>
        <v>0.46886790813925394</v>
      </c>
      <c r="G80">
        <v>5</v>
      </c>
      <c r="H80" s="28">
        <v>5</v>
      </c>
      <c r="I80" s="49">
        <v>54</v>
      </c>
      <c r="J80" s="49">
        <v>147</v>
      </c>
      <c r="K80" s="49">
        <v>337</v>
      </c>
      <c r="M80" s="49">
        <v>5</v>
      </c>
      <c r="N80" s="28">
        <v>240</v>
      </c>
      <c r="O80">
        <v>0.278293135435993</v>
      </c>
      <c r="P80" s="35">
        <f aca="true" t="shared" si="25" ref="P80:P85">AVERAGE(O55:O80)</f>
        <v>0.8633027189913286</v>
      </c>
      <c r="R80" s="92">
        <v>5</v>
      </c>
      <c r="S80" s="28">
        <v>5</v>
      </c>
      <c r="T80" s="93">
        <v>7</v>
      </c>
      <c r="U80" s="93">
        <v>17</v>
      </c>
      <c r="V80" s="93">
        <v>56</v>
      </c>
      <c r="W80" s="94">
        <f aca="true" t="shared" si="26" ref="W80:W85">MEDIAN(T57:T80)</f>
        <v>17</v>
      </c>
      <c r="Y80" s="92">
        <v>5</v>
      </c>
      <c r="Z80" s="28">
        <v>60</v>
      </c>
    </row>
    <row r="81" spans="1:26" ht="12.75">
      <c r="A81">
        <v>2015</v>
      </c>
      <c r="B81" s="95" t="s">
        <v>42</v>
      </c>
      <c r="C81" s="24">
        <v>42217</v>
      </c>
      <c r="D81" s="26">
        <v>0.293255131964809</v>
      </c>
      <c r="E81" s="83">
        <f t="shared" si="24"/>
        <v>0.38053156706097735</v>
      </c>
      <c r="G81">
        <v>5</v>
      </c>
      <c r="H81" s="28">
        <v>5</v>
      </c>
      <c r="I81" s="49">
        <v>51</v>
      </c>
      <c r="J81" s="49">
        <v>153</v>
      </c>
      <c r="K81" s="49">
        <v>245</v>
      </c>
      <c r="M81" s="49">
        <v>5</v>
      </c>
      <c r="N81" s="28">
        <v>240</v>
      </c>
      <c r="O81">
        <v>0.293255131964809</v>
      </c>
      <c r="P81" s="35">
        <f t="shared" si="25"/>
        <v>0.8657356086822828</v>
      </c>
      <c r="R81" s="92">
        <v>5</v>
      </c>
      <c r="S81" s="28">
        <v>5</v>
      </c>
      <c r="T81" s="93">
        <v>8</v>
      </c>
      <c r="U81" s="93">
        <v>21</v>
      </c>
      <c r="V81" s="93">
        <v>44</v>
      </c>
      <c r="W81" s="94">
        <f t="shared" si="26"/>
        <v>17</v>
      </c>
      <c r="Y81" s="92">
        <v>5</v>
      </c>
      <c r="Z81" s="28">
        <v>60</v>
      </c>
    </row>
    <row r="82" spans="1:26" ht="12.75">
      <c r="A82">
        <v>2015</v>
      </c>
      <c r="B82" s="95" t="s">
        <v>43</v>
      </c>
      <c r="C82" s="24">
        <v>42248</v>
      </c>
      <c r="D82" s="26">
        <v>0.181983621474067</v>
      </c>
      <c r="E82" s="83">
        <f t="shared" si="24"/>
        <v>0.28483862942536475</v>
      </c>
      <c r="G82">
        <v>5</v>
      </c>
      <c r="H82" s="28">
        <v>5</v>
      </c>
      <c r="I82" s="49">
        <v>67</v>
      </c>
      <c r="J82" s="49">
        <v>170</v>
      </c>
      <c r="K82" s="49">
        <v>271</v>
      </c>
      <c r="M82" s="49">
        <v>5</v>
      </c>
      <c r="N82" s="28">
        <v>240</v>
      </c>
      <c r="O82">
        <v>0.363967242948135</v>
      </c>
      <c r="P82" s="35">
        <f t="shared" si="25"/>
        <v>0.8639651180264418</v>
      </c>
      <c r="R82" s="92">
        <v>5</v>
      </c>
      <c r="S82" s="28">
        <v>5</v>
      </c>
      <c r="T82" s="93">
        <v>9</v>
      </c>
      <c r="U82" s="93">
        <v>23</v>
      </c>
      <c r="V82" s="93">
        <v>85</v>
      </c>
      <c r="W82" s="94">
        <f t="shared" si="26"/>
        <v>16.5</v>
      </c>
      <c r="Y82" s="92">
        <v>5</v>
      </c>
      <c r="Z82" s="28">
        <v>60</v>
      </c>
    </row>
    <row r="83" spans="1:26" ht="12.75">
      <c r="A83">
        <v>2015</v>
      </c>
      <c r="B83" s="95" t="s">
        <v>44</v>
      </c>
      <c r="C83" s="24">
        <v>42278</v>
      </c>
      <c r="D83" s="26">
        <v>0</v>
      </c>
      <c r="E83" s="83">
        <f t="shared" si="24"/>
        <v>0.19560786019459545</v>
      </c>
      <c r="G83">
        <v>5</v>
      </c>
      <c r="H83" s="28">
        <v>5</v>
      </c>
      <c r="I83" s="49">
        <v>68</v>
      </c>
      <c r="J83" s="49">
        <v>166</v>
      </c>
      <c r="K83" s="49">
        <v>244</v>
      </c>
      <c r="M83" s="49">
        <v>5</v>
      </c>
      <c r="N83" s="28">
        <v>240</v>
      </c>
      <c r="O83">
        <v>0.175438596491228</v>
      </c>
      <c r="P83" s="35">
        <f t="shared" si="25"/>
        <v>0.8568666025068737</v>
      </c>
      <c r="R83" s="92">
        <v>5</v>
      </c>
      <c r="S83" s="28">
        <v>5</v>
      </c>
      <c r="T83" s="93">
        <v>9</v>
      </c>
      <c r="U83" s="93">
        <v>20</v>
      </c>
      <c r="V83" s="93">
        <v>58</v>
      </c>
      <c r="W83" s="94">
        <f t="shared" si="26"/>
        <v>16</v>
      </c>
      <c r="Y83" s="92">
        <v>5</v>
      </c>
      <c r="Z83" s="28">
        <v>60</v>
      </c>
    </row>
    <row r="84" spans="1:26" ht="12.75">
      <c r="A84">
        <v>2015</v>
      </c>
      <c r="B84" s="95" t="s">
        <v>45</v>
      </c>
      <c r="C84" s="24">
        <v>42309</v>
      </c>
      <c r="D84" s="26">
        <v>0</v>
      </c>
      <c r="E84" s="83">
        <f t="shared" si="24"/>
        <v>0.1386847832715186</v>
      </c>
      <c r="G84">
        <v>5</v>
      </c>
      <c r="H84" s="28">
        <v>5</v>
      </c>
      <c r="I84" s="49">
        <v>74</v>
      </c>
      <c r="J84" s="49">
        <v>180</v>
      </c>
      <c r="K84" s="49">
        <v>264</v>
      </c>
      <c r="M84" s="49">
        <v>5</v>
      </c>
      <c r="N84" s="28">
        <v>240</v>
      </c>
      <c r="O84">
        <v>0.0896860986547085</v>
      </c>
      <c r="P84" s="35">
        <f t="shared" si="25"/>
        <v>0.842239144762824</v>
      </c>
      <c r="R84" s="92">
        <v>5</v>
      </c>
      <c r="S84" s="28">
        <v>5</v>
      </c>
      <c r="T84" s="93">
        <v>9</v>
      </c>
      <c r="U84" s="93">
        <v>18</v>
      </c>
      <c r="V84" s="93">
        <v>112</v>
      </c>
      <c r="W84" s="94">
        <f t="shared" si="26"/>
        <v>16</v>
      </c>
      <c r="Y84" s="92">
        <v>5</v>
      </c>
      <c r="Z84" s="28">
        <v>60</v>
      </c>
    </row>
    <row r="85" spans="1:26" ht="12.75">
      <c r="A85">
        <v>2015</v>
      </c>
      <c r="B85" s="95" t="s">
        <v>46</v>
      </c>
      <c r="C85" s="24">
        <v>42339</v>
      </c>
      <c r="D85" s="26">
        <v>0</v>
      </c>
      <c r="E85" s="83">
        <f t="shared" si="24"/>
        <v>0.08099247557921087</v>
      </c>
      <c r="G85">
        <v>5</v>
      </c>
      <c r="H85" s="28">
        <v>5</v>
      </c>
      <c r="I85" s="49">
        <v>70</v>
      </c>
      <c r="J85" s="49">
        <v>181</v>
      </c>
      <c r="K85" s="49">
        <v>277</v>
      </c>
      <c r="M85" s="49">
        <v>5</v>
      </c>
      <c r="N85" s="28">
        <v>240</v>
      </c>
      <c r="O85">
        <v>0.0836120401337793</v>
      </c>
      <c r="P85" s="35">
        <f t="shared" si="25"/>
        <v>0.7877626847679694</v>
      </c>
      <c r="R85" s="92">
        <v>5</v>
      </c>
      <c r="S85" s="28">
        <v>5</v>
      </c>
      <c r="T85" s="93">
        <v>9</v>
      </c>
      <c r="U85" s="93">
        <v>17</v>
      </c>
      <c r="V85" s="93">
        <v>43</v>
      </c>
      <c r="W85" s="94">
        <f t="shared" si="26"/>
        <v>15.5</v>
      </c>
      <c r="Y85" s="92">
        <v>5</v>
      </c>
      <c r="Z85" s="28">
        <v>60</v>
      </c>
    </row>
    <row r="86" spans="1:26" ht="12.75">
      <c r="A86">
        <v>2016</v>
      </c>
      <c r="B86" s="95" t="s">
        <v>35</v>
      </c>
      <c r="C86" s="24">
        <v>42370</v>
      </c>
      <c r="D86" s="26">
        <v>0</v>
      </c>
      <c r="E86" s="83">
        <f aca="true" t="shared" si="27" ref="E86:E91">AVERAGE(D61:D86)</f>
        <v>0.07714632173305702</v>
      </c>
      <c r="G86">
        <v>5</v>
      </c>
      <c r="H86" s="28">
        <v>5</v>
      </c>
      <c r="I86" s="49">
        <v>88</v>
      </c>
      <c r="J86" s="49">
        <v>216</v>
      </c>
      <c r="K86" s="49">
        <v>422</v>
      </c>
      <c r="M86" s="49">
        <v>5</v>
      </c>
      <c r="N86" s="28">
        <v>240</v>
      </c>
      <c r="O86">
        <v>0.231839258114374</v>
      </c>
      <c r="P86" s="35">
        <f aca="true" t="shared" si="28" ref="P86:P91">AVERAGE(O61:O86)</f>
        <v>0.7474488100800608</v>
      </c>
      <c r="R86" s="92">
        <v>5</v>
      </c>
      <c r="S86" s="28">
        <v>5</v>
      </c>
      <c r="T86" s="93">
        <v>9</v>
      </c>
      <c r="U86" s="93">
        <v>17</v>
      </c>
      <c r="V86" s="93">
        <v>54</v>
      </c>
      <c r="W86" s="94">
        <f aca="true" t="shared" si="29" ref="W86:W91">MEDIAN(T63:T86)</f>
        <v>15.5</v>
      </c>
      <c r="Y86" s="92">
        <v>5</v>
      </c>
      <c r="Z86" s="28">
        <v>60</v>
      </c>
    </row>
    <row r="87" spans="1:26" ht="12.75">
      <c r="A87">
        <v>2016</v>
      </c>
      <c r="B87" s="95" t="s">
        <v>36</v>
      </c>
      <c r="C87" s="24">
        <v>42401</v>
      </c>
      <c r="D87" s="26">
        <v>0</v>
      </c>
      <c r="E87" s="83">
        <f t="shared" si="27"/>
        <v>0.07599247557921088</v>
      </c>
      <c r="G87">
        <v>5</v>
      </c>
      <c r="H87" s="28">
        <v>5</v>
      </c>
      <c r="I87" s="49">
        <v>96</v>
      </c>
      <c r="J87" s="49">
        <v>222</v>
      </c>
      <c r="K87" s="49">
        <v>304</v>
      </c>
      <c r="M87" s="49">
        <v>5</v>
      </c>
      <c r="N87" s="28">
        <v>240</v>
      </c>
      <c r="O87">
        <v>0.238853503184713</v>
      </c>
      <c r="P87" s="35">
        <f t="shared" si="28"/>
        <v>0.7093277909717804</v>
      </c>
      <c r="R87" s="92">
        <v>5</v>
      </c>
      <c r="S87" s="28">
        <v>5</v>
      </c>
      <c r="T87" s="93">
        <v>10</v>
      </c>
      <c r="U87" s="93">
        <v>20</v>
      </c>
      <c r="V87" s="93">
        <v>135</v>
      </c>
      <c r="W87" s="94">
        <f t="shared" si="29"/>
        <v>15</v>
      </c>
      <c r="Y87" s="92">
        <v>5</v>
      </c>
      <c r="Z87" s="28">
        <v>60</v>
      </c>
    </row>
    <row r="88" spans="1:26" ht="12.75">
      <c r="A88">
        <v>2016</v>
      </c>
      <c r="B88" s="95" t="s">
        <v>37</v>
      </c>
      <c r="C88" s="24">
        <v>42430</v>
      </c>
      <c r="D88" s="26">
        <v>0.0720461095100865</v>
      </c>
      <c r="E88" s="83">
        <f t="shared" si="27"/>
        <v>0.07299424902190652</v>
      </c>
      <c r="G88">
        <v>5</v>
      </c>
      <c r="H88" s="28">
        <v>5</v>
      </c>
      <c r="I88" s="49">
        <v>104</v>
      </c>
      <c r="J88" s="49">
        <v>229</v>
      </c>
      <c r="K88" s="49">
        <v>337</v>
      </c>
      <c r="M88" s="49">
        <v>5</v>
      </c>
      <c r="N88" s="28">
        <v>240</v>
      </c>
      <c r="O88">
        <v>0.288184438040346</v>
      </c>
      <c r="P88" s="35">
        <f t="shared" si="28"/>
        <v>0.6973348847425631</v>
      </c>
      <c r="R88" s="92">
        <v>5</v>
      </c>
      <c r="S88" s="28">
        <v>5</v>
      </c>
      <c r="T88" s="93">
        <v>10</v>
      </c>
      <c r="U88" s="93">
        <v>22</v>
      </c>
      <c r="V88" s="93">
        <v>66</v>
      </c>
      <c r="W88" s="94">
        <f t="shared" si="29"/>
        <v>15</v>
      </c>
      <c r="Y88" s="92">
        <v>5</v>
      </c>
      <c r="Z88" s="28">
        <v>60</v>
      </c>
    </row>
    <row r="89" spans="1:26" ht="12.75">
      <c r="A89">
        <v>2016</v>
      </c>
      <c r="B89" s="95" t="s">
        <v>38</v>
      </c>
      <c r="C89" s="24">
        <v>42461</v>
      </c>
      <c r="D89" s="26">
        <v>0.0863557858376511</v>
      </c>
      <c r="E89" s="83">
        <f t="shared" si="27"/>
        <v>0.0663156254002777</v>
      </c>
      <c r="G89">
        <v>5</v>
      </c>
      <c r="H89" s="28">
        <v>5</v>
      </c>
      <c r="I89" s="49">
        <v>69</v>
      </c>
      <c r="J89" s="49">
        <v>195</v>
      </c>
      <c r="K89" s="49">
        <v>415</v>
      </c>
      <c r="M89" s="49">
        <v>5</v>
      </c>
      <c r="N89" s="28">
        <v>240</v>
      </c>
      <c r="O89">
        <v>0.0863557858376511</v>
      </c>
      <c r="P89" s="35">
        <f t="shared" si="28"/>
        <v>0.6564254918901649</v>
      </c>
      <c r="R89" s="92">
        <v>5</v>
      </c>
      <c r="S89" s="28">
        <v>5</v>
      </c>
      <c r="T89" s="93">
        <v>7</v>
      </c>
      <c r="U89" s="93">
        <v>16</v>
      </c>
      <c r="V89" s="93">
        <v>38</v>
      </c>
      <c r="W89" s="94">
        <f t="shared" si="29"/>
        <v>13</v>
      </c>
      <c r="Y89" s="92">
        <v>5</v>
      </c>
      <c r="Z89" s="28">
        <v>60</v>
      </c>
    </row>
    <row r="90" spans="1:26" ht="12.75">
      <c r="A90">
        <v>2016</v>
      </c>
      <c r="B90" s="95" t="s">
        <v>39</v>
      </c>
      <c r="C90" s="24">
        <v>42491</v>
      </c>
      <c r="D90" s="26">
        <v>0</v>
      </c>
      <c r="E90" s="83">
        <f t="shared" si="27"/>
        <v>0.06516177924643156</v>
      </c>
      <c r="G90">
        <v>5</v>
      </c>
      <c r="H90" s="28">
        <v>5</v>
      </c>
      <c r="I90" s="49">
        <v>97</v>
      </c>
      <c r="J90" s="49">
        <v>210</v>
      </c>
      <c r="K90" s="49">
        <v>356</v>
      </c>
      <c r="M90" s="49">
        <v>5</v>
      </c>
      <c r="N90" s="28">
        <v>240</v>
      </c>
      <c r="O90">
        <v>0.0235478806907378</v>
      </c>
      <c r="P90" s="35">
        <f t="shared" si="28"/>
        <v>0.6088696411475008</v>
      </c>
      <c r="R90" s="92">
        <v>5</v>
      </c>
      <c r="S90" s="28">
        <v>5</v>
      </c>
      <c r="T90" s="93">
        <v>9</v>
      </c>
      <c r="U90" s="93">
        <v>18</v>
      </c>
      <c r="V90" s="93">
        <v>97</v>
      </c>
      <c r="W90" s="94">
        <f t="shared" si="29"/>
        <v>10.5</v>
      </c>
      <c r="Y90" s="92">
        <v>5</v>
      </c>
      <c r="Z90" s="28">
        <v>60</v>
      </c>
    </row>
    <row r="91" spans="1:26" ht="12.75">
      <c r="A91">
        <v>2016</v>
      </c>
      <c r="B91" s="95" t="s">
        <v>40</v>
      </c>
      <c r="C91" s="24">
        <v>42522</v>
      </c>
      <c r="D91" s="26">
        <v>0.0849617672047579</v>
      </c>
      <c r="E91" s="83">
        <f t="shared" si="27"/>
        <v>0.06842953952353763</v>
      </c>
      <c r="G91">
        <v>5</v>
      </c>
      <c r="H91" s="28">
        <v>5</v>
      </c>
      <c r="I91" s="49">
        <v>81</v>
      </c>
      <c r="J91" s="49">
        <v>186</v>
      </c>
      <c r="K91" s="49">
        <v>366</v>
      </c>
      <c r="M91" s="49">
        <v>5</v>
      </c>
      <c r="N91" s="28">
        <v>240</v>
      </c>
      <c r="O91">
        <v>0.0849617672047579</v>
      </c>
      <c r="P91" s="35">
        <f t="shared" si="28"/>
        <v>0.5675220168092222</v>
      </c>
      <c r="R91" s="92">
        <v>5</v>
      </c>
      <c r="S91" s="28">
        <v>5</v>
      </c>
      <c r="T91" s="93">
        <v>8</v>
      </c>
      <c r="U91" s="93">
        <v>18</v>
      </c>
      <c r="V91" s="93">
        <v>48</v>
      </c>
      <c r="W91" s="94">
        <f t="shared" si="29"/>
        <v>10</v>
      </c>
      <c r="Y91" s="92">
        <v>5</v>
      </c>
      <c r="Z91" s="28">
        <v>60</v>
      </c>
    </row>
    <row r="92" spans="1:26" ht="12.75">
      <c r="A92">
        <v>2016</v>
      </c>
      <c r="B92" s="95" t="s">
        <v>41</v>
      </c>
      <c r="C92" s="24">
        <v>42552</v>
      </c>
      <c r="D92" s="26">
        <v>0.159489633173844</v>
      </c>
      <c r="E92" s="83">
        <f aca="true" t="shared" si="30" ref="E92:E97">AVERAGE(D67:D92)</f>
        <v>0.07456375618407009</v>
      </c>
      <c r="G92">
        <v>5</v>
      </c>
      <c r="H92" s="28">
        <v>5</v>
      </c>
      <c r="I92" s="49">
        <v>86</v>
      </c>
      <c r="J92" s="49">
        <v>200</v>
      </c>
      <c r="K92" s="49">
        <v>378</v>
      </c>
      <c r="M92" s="49">
        <v>5</v>
      </c>
      <c r="N92" s="28">
        <v>240</v>
      </c>
      <c r="O92">
        <v>0.0797448165869219</v>
      </c>
      <c r="P92" s="35">
        <f aca="true" t="shared" si="31" ref="P92:P97">AVERAGE(O67:O92)</f>
        <v>0.5309737405241038</v>
      </c>
      <c r="R92" s="92">
        <v>5</v>
      </c>
      <c r="S92" s="28">
        <v>5</v>
      </c>
      <c r="T92" s="93">
        <v>8</v>
      </c>
      <c r="U92" s="93">
        <v>19</v>
      </c>
      <c r="V92" s="93">
        <v>57</v>
      </c>
      <c r="W92" s="94">
        <f aca="true" t="shared" si="32" ref="W92:W97">MEDIAN(T69:T92)</f>
        <v>9.5</v>
      </c>
      <c r="Y92" s="92">
        <v>5</v>
      </c>
      <c r="Z92" s="28">
        <v>60</v>
      </c>
    </row>
    <row r="93" spans="1:26" ht="12.75">
      <c r="A93">
        <v>2016</v>
      </c>
      <c r="B93" s="95" t="s">
        <v>42</v>
      </c>
      <c r="C93" s="24">
        <v>42583</v>
      </c>
      <c r="D93" s="26">
        <v>0.0861326442721792</v>
      </c>
      <c r="E93" s="83">
        <f t="shared" si="30"/>
        <v>0.07672270404069235</v>
      </c>
      <c r="G93">
        <v>5</v>
      </c>
      <c r="H93" s="28">
        <v>5</v>
      </c>
      <c r="I93" s="49">
        <v>67</v>
      </c>
      <c r="J93" s="49">
        <v>165</v>
      </c>
      <c r="K93" s="49">
        <v>236</v>
      </c>
      <c r="M93" s="49">
        <v>5</v>
      </c>
      <c r="N93" s="28">
        <v>240</v>
      </c>
      <c r="O93">
        <v>0</v>
      </c>
      <c r="P93" s="35">
        <f t="shared" si="31"/>
        <v>0.4844352789856423</v>
      </c>
      <c r="R93" s="92">
        <v>5</v>
      </c>
      <c r="S93" s="28">
        <v>5</v>
      </c>
      <c r="T93" s="93">
        <v>7</v>
      </c>
      <c r="U93" s="93">
        <v>17</v>
      </c>
      <c r="V93" s="93">
        <v>31</v>
      </c>
      <c r="W93" s="94">
        <f t="shared" si="32"/>
        <v>9</v>
      </c>
      <c r="Y93" s="92">
        <v>5</v>
      </c>
      <c r="Z93" s="28">
        <v>60</v>
      </c>
    </row>
    <row r="94" spans="1:26" ht="12.75">
      <c r="A94">
        <v>2016</v>
      </c>
      <c r="B94" s="95" t="s">
        <v>43</v>
      </c>
      <c r="C94" s="24">
        <v>42614</v>
      </c>
      <c r="D94" s="26">
        <v>0.0857632933104631</v>
      </c>
      <c r="E94" s="83">
        <f t="shared" si="30"/>
        <v>0.0788674460910948</v>
      </c>
      <c r="G94">
        <v>5</v>
      </c>
      <c r="H94" s="28">
        <v>5</v>
      </c>
      <c r="I94" s="49">
        <v>83</v>
      </c>
      <c r="J94" s="49">
        <v>184</v>
      </c>
      <c r="K94" s="49">
        <v>281</v>
      </c>
      <c r="M94" s="49">
        <v>5</v>
      </c>
      <c r="N94" s="28">
        <v>240</v>
      </c>
      <c r="O94">
        <v>0</v>
      </c>
      <c r="P94" s="35">
        <f t="shared" si="31"/>
        <v>0.42597374052410386</v>
      </c>
      <c r="R94" s="92">
        <v>5</v>
      </c>
      <c r="S94" s="28">
        <v>5</v>
      </c>
      <c r="T94" s="93">
        <v>7</v>
      </c>
      <c r="U94" s="93">
        <v>19</v>
      </c>
      <c r="V94" s="93">
        <v>33</v>
      </c>
      <c r="W94" s="94">
        <f t="shared" si="32"/>
        <v>9</v>
      </c>
      <c r="Y94" s="92">
        <v>5</v>
      </c>
      <c r="Z94" s="28">
        <v>60</v>
      </c>
    </row>
    <row r="95" spans="1:26" ht="12.75">
      <c r="A95">
        <v>2016</v>
      </c>
      <c r="B95" s="95" t="s">
        <v>44</v>
      </c>
      <c r="C95" s="24">
        <v>42644</v>
      </c>
      <c r="D95" s="26">
        <v>0.329489291598023</v>
      </c>
      <c r="E95" s="83">
        <f t="shared" si="30"/>
        <v>0.09154011115255721</v>
      </c>
      <c r="G95">
        <v>5</v>
      </c>
      <c r="H95" s="28">
        <v>5</v>
      </c>
      <c r="I95" s="49">
        <v>84</v>
      </c>
      <c r="J95" s="49">
        <v>192</v>
      </c>
      <c r="K95" s="49">
        <v>240</v>
      </c>
      <c r="M95" s="49">
        <v>5</v>
      </c>
      <c r="N95" s="28">
        <v>240</v>
      </c>
      <c r="O95">
        <v>0.164744645799012</v>
      </c>
      <c r="P95" s="35">
        <f t="shared" si="31"/>
        <v>0.39808259980297145</v>
      </c>
      <c r="R95" s="92">
        <v>5</v>
      </c>
      <c r="S95" s="28">
        <v>5</v>
      </c>
      <c r="T95" s="93">
        <v>7</v>
      </c>
      <c r="U95" s="93">
        <v>17</v>
      </c>
      <c r="V95" s="93">
        <v>36</v>
      </c>
      <c r="W95" s="94">
        <f t="shared" si="32"/>
        <v>9</v>
      </c>
      <c r="Y95" s="92">
        <v>5</v>
      </c>
      <c r="Z95" s="28">
        <v>60</v>
      </c>
    </row>
    <row r="96" spans="1:26" ht="12.75">
      <c r="A96">
        <v>2016</v>
      </c>
      <c r="B96" s="95" t="s">
        <v>45</v>
      </c>
      <c r="C96" s="24">
        <v>42675</v>
      </c>
      <c r="D96" s="26">
        <v>0</v>
      </c>
      <c r="E96" s="83">
        <f t="shared" si="30"/>
        <v>0.08123177743743375</v>
      </c>
      <c r="G96">
        <v>5</v>
      </c>
      <c r="H96" s="28">
        <v>5</v>
      </c>
      <c r="I96" s="49">
        <v>85</v>
      </c>
      <c r="J96" s="49">
        <v>199</v>
      </c>
      <c r="K96" s="49">
        <v>369</v>
      </c>
      <c r="M96" s="49">
        <v>5</v>
      </c>
      <c r="N96" s="28">
        <v>240</v>
      </c>
      <c r="O96">
        <v>0.169779286926995</v>
      </c>
      <c r="P96" s="35">
        <f t="shared" si="31"/>
        <v>0.36566997834217585</v>
      </c>
      <c r="R96" s="92">
        <v>5</v>
      </c>
      <c r="S96" s="28">
        <v>5</v>
      </c>
      <c r="T96" s="93">
        <v>8</v>
      </c>
      <c r="U96" s="93">
        <v>18</v>
      </c>
      <c r="V96" s="93">
        <v>36</v>
      </c>
      <c r="W96" s="94">
        <f t="shared" si="32"/>
        <v>9</v>
      </c>
      <c r="Y96" s="92">
        <v>5</v>
      </c>
      <c r="Z96" s="28">
        <v>60</v>
      </c>
    </row>
    <row r="97" spans="1:26" ht="12.75">
      <c r="A97">
        <v>2016</v>
      </c>
      <c r="B97" s="95" t="s">
        <v>46</v>
      </c>
      <c r="C97" s="24">
        <v>42705</v>
      </c>
      <c r="D97" s="26">
        <v>0.0802568218298555</v>
      </c>
      <c r="E97" s="83">
        <f t="shared" si="30"/>
        <v>0.08063334623026572</v>
      </c>
      <c r="G97">
        <v>5</v>
      </c>
      <c r="H97" s="28">
        <v>5</v>
      </c>
      <c r="I97" s="49">
        <v>83</v>
      </c>
      <c r="J97" s="49">
        <v>219</v>
      </c>
      <c r="K97" s="49">
        <v>354</v>
      </c>
      <c r="M97" s="49">
        <v>5</v>
      </c>
      <c r="N97" s="28">
        <v>240</v>
      </c>
      <c r="O97">
        <v>0.160513643659711</v>
      </c>
      <c r="P97" s="35">
        <f t="shared" si="31"/>
        <v>0.33990490228265396</v>
      </c>
      <c r="R97" s="92">
        <v>5</v>
      </c>
      <c r="S97" s="28">
        <v>5</v>
      </c>
      <c r="T97" s="93">
        <v>7</v>
      </c>
      <c r="U97" s="93">
        <v>20</v>
      </c>
      <c r="V97" s="93">
        <v>130</v>
      </c>
      <c r="W97" s="94">
        <f t="shared" si="32"/>
        <v>9</v>
      </c>
      <c r="Y97" s="92">
        <v>5</v>
      </c>
      <c r="Z97" s="28">
        <v>60</v>
      </c>
    </row>
    <row r="98" spans="1:26" ht="12.75">
      <c r="A98">
        <v>2017</v>
      </c>
      <c r="B98" s="95" t="s">
        <v>35</v>
      </c>
      <c r="C98" s="24">
        <v>42736</v>
      </c>
      <c r="D98" s="26">
        <v>0.0783699059561128</v>
      </c>
      <c r="E98" s="83">
        <f aca="true" t="shared" si="33" ref="E98:E103">AVERAGE(D73:D98)</f>
        <v>0.07485492905744777</v>
      </c>
      <c r="G98">
        <v>5</v>
      </c>
      <c r="H98" s="28">
        <v>5</v>
      </c>
      <c r="I98" s="49">
        <v>95</v>
      </c>
      <c r="J98" s="49">
        <v>217</v>
      </c>
      <c r="K98" s="49">
        <v>354</v>
      </c>
      <c r="M98" s="49">
        <v>5</v>
      </c>
      <c r="N98" s="28">
        <v>240</v>
      </c>
      <c r="O98">
        <v>0.156739811912226</v>
      </c>
      <c r="P98" s="35">
        <f aca="true" t="shared" si="34" ref="P98:P103">AVERAGE(O73:O98)</f>
        <v>0.3044823190549401</v>
      </c>
      <c r="R98" s="92">
        <v>5</v>
      </c>
      <c r="S98" s="28">
        <v>5</v>
      </c>
      <c r="T98" s="93">
        <v>7</v>
      </c>
      <c r="U98" s="93">
        <v>18</v>
      </c>
      <c r="V98" s="93">
        <v>40</v>
      </c>
      <c r="W98" s="94">
        <f aca="true" t="shared" si="35" ref="W98:W103">MEDIAN(T75:T98)</f>
        <v>9</v>
      </c>
      <c r="Y98" s="92">
        <v>5</v>
      </c>
      <c r="Z98" s="28">
        <v>60</v>
      </c>
    </row>
    <row r="99" spans="1:26" ht="12.75">
      <c r="A99">
        <v>2017</v>
      </c>
      <c r="B99" s="95" t="s">
        <v>36</v>
      </c>
      <c r="C99" s="24">
        <v>42767</v>
      </c>
      <c r="D99" s="26">
        <v>0</v>
      </c>
      <c r="E99" s="83">
        <f t="shared" si="33"/>
        <v>0.07257707661672888</v>
      </c>
      <c r="G99">
        <v>5</v>
      </c>
      <c r="H99" s="28">
        <v>5</v>
      </c>
      <c r="I99" s="49">
        <v>97</v>
      </c>
      <c r="J99" s="49">
        <v>221</v>
      </c>
      <c r="K99" s="49">
        <v>383</v>
      </c>
      <c r="M99" s="49">
        <v>5</v>
      </c>
      <c r="N99" s="28">
        <v>240</v>
      </c>
      <c r="O99">
        <v>0.0856898029134533</v>
      </c>
      <c r="P99" s="35">
        <f t="shared" si="34"/>
        <v>0.23602572882281259</v>
      </c>
      <c r="R99" s="92">
        <v>5</v>
      </c>
      <c r="S99" s="28">
        <v>5</v>
      </c>
      <c r="T99" s="93">
        <v>8</v>
      </c>
      <c r="U99" s="93">
        <v>22</v>
      </c>
      <c r="V99" s="93">
        <v>78</v>
      </c>
      <c r="W99" s="94">
        <f t="shared" si="35"/>
        <v>8.5</v>
      </c>
      <c r="Y99" s="92">
        <v>5</v>
      </c>
      <c r="Z99" s="28">
        <v>60</v>
      </c>
    </row>
    <row r="100" spans="1:26" ht="12.75">
      <c r="A100">
        <v>2017</v>
      </c>
      <c r="B100" s="95" t="s">
        <v>37</v>
      </c>
      <c r="C100" s="24">
        <v>42795</v>
      </c>
      <c r="D100" s="26">
        <v>0</v>
      </c>
      <c r="E100" s="83">
        <f t="shared" si="33"/>
        <v>0.0702503047799752</v>
      </c>
      <c r="G100">
        <v>5</v>
      </c>
      <c r="H100" s="28">
        <v>5</v>
      </c>
      <c r="I100" s="49">
        <v>104</v>
      </c>
      <c r="J100" s="49">
        <v>226</v>
      </c>
      <c r="K100" s="49">
        <v>405</v>
      </c>
      <c r="M100" s="49">
        <v>5</v>
      </c>
      <c r="N100" s="28">
        <v>240</v>
      </c>
      <c r="O100">
        <v>0.159108989657916</v>
      </c>
      <c r="P100" s="35">
        <f t="shared" si="34"/>
        <v>0.19910002636817395</v>
      </c>
      <c r="R100" s="92">
        <v>5</v>
      </c>
      <c r="S100" s="28">
        <v>5</v>
      </c>
      <c r="T100" s="93">
        <v>8</v>
      </c>
      <c r="U100" s="93">
        <v>24</v>
      </c>
      <c r="V100" s="93">
        <v>58</v>
      </c>
      <c r="W100" s="94">
        <f t="shared" si="35"/>
        <v>8</v>
      </c>
      <c r="Y100" s="92">
        <v>5</v>
      </c>
      <c r="Z100" s="28">
        <v>60</v>
      </c>
    </row>
    <row r="101" spans="1:26" ht="12.75">
      <c r="A101">
        <v>2017</v>
      </c>
      <c r="B101" s="95" t="s">
        <v>38</v>
      </c>
      <c r="C101" s="24">
        <v>42826</v>
      </c>
      <c r="D101" s="26">
        <v>0.0827814569536424</v>
      </c>
      <c r="E101" s="83">
        <f t="shared" si="33"/>
        <v>0.07078260142334108</v>
      </c>
      <c r="G101">
        <v>5</v>
      </c>
      <c r="H101" s="28">
        <v>5</v>
      </c>
      <c r="I101" s="49">
        <v>81</v>
      </c>
      <c r="J101" s="49">
        <v>195</v>
      </c>
      <c r="K101" s="49">
        <v>359</v>
      </c>
      <c r="M101" s="49">
        <v>5</v>
      </c>
      <c r="N101" s="28">
        <v>240</v>
      </c>
      <c r="O101">
        <v>0</v>
      </c>
      <c r="P101" s="35">
        <f t="shared" si="34"/>
        <v>0.1752355764437447</v>
      </c>
      <c r="R101" s="92">
        <v>5</v>
      </c>
      <c r="S101" s="28">
        <v>5</v>
      </c>
      <c r="T101" s="93">
        <v>7</v>
      </c>
      <c r="U101" s="93">
        <v>17</v>
      </c>
      <c r="V101" s="93">
        <v>37</v>
      </c>
      <c r="W101" s="94">
        <f t="shared" si="35"/>
        <v>8</v>
      </c>
      <c r="Y101" s="92">
        <v>5</v>
      </c>
      <c r="Z101" s="28">
        <v>60</v>
      </c>
    </row>
    <row r="102" spans="1:26" ht="12.75">
      <c r="A102">
        <v>2017</v>
      </c>
      <c r="B102" s="95" t="s">
        <v>39</v>
      </c>
      <c r="C102" s="24">
        <v>42856</v>
      </c>
      <c r="D102" s="26">
        <v>0</v>
      </c>
      <c r="E102" s="83">
        <f t="shared" si="33"/>
        <v>0.06963995322186936</v>
      </c>
      <c r="G102">
        <v>5</v>
      </c>
      <c r="H102" s="28">
        <v>5</v>
      </c>
      <c r="I102" s="49">
        <v>78</v>
      </c>
      <c r="J102" s="49">
        <v>184</v>
      </c>
      <c r="K102" s="49">
        <v>335</v>
      </c>
      <c r="M102" s="49">
        <v>5</v>
      </c>
      <c r="N102" s="28">
        <v>240</v>
      </c>
      <c r="O102">
        <v>0</v>
      </c>
      <c r="P102" s="35">
        <f t="shared" si="34"/>
        <v>0.15298316381374374</v>
      </c>
      <c r="R102" s="92">
        <v>5</v>
      </c>
      <c r="S102" s="28">
        <v>5</v>
      </c>
      <c r="T102" s="93">
        <v>7</v>
      </c>
      <c r="U102" s="93">
        <v>17</v>
      </c>
      <c r="V102" s="93">
        <v>43</v>
      </c>
      <c r="W102" s="94">
        <f t="shared" si="35"/>
        <v>8</v>
      </c>
      <c r="Y102" s="92">
        <v>5</v>
      </c>
      <c r="Z102" s="28">
        <v>60</v>
      </c>
    </row>
    <row r="103" spans="1:26" ht="12.75">
      <c r="A103">
        <v>2017</v>
      </c>
      <c r="B103" s="95" t="s">
        <v>40</v>
      </c>
      <c r="C103" s="24">
        <v>42887</v>
      </c>
      <c r="D103" s="26">
        <v>0</v>
      </c>
      <c r="E103" s="83">
        <f t="shared" si="33"/>
        <v>0.06234174858021121</v>
      </c>
      <c r="G103">
        <v>5</v>
      </c>
      <c r="H103" s="28">
        <v>5</v>
      </c>
      <c r="I103" s="49">
        <v>76</v>
      </c>
      <c r="J103" s="49">
        <v>189</v>
      </c>
      <c r="K103" s="49">
        <v>262</v>
      </c>
      <c r="M103" s="49">
        <v>5</v>
      </c>
      <c r="N103" s="28">
        <v>240</v>
      </c>
      <c r="O103">
        <v>0</v>
      </c>
      <c r="P103" s="35">
        <f t="shared" si="34"/>
        <v>0.13108854988876925</v>
      </c>
      <c r="R103" s="92">
        <v>5</v>
      </c>
      <c r="S103" s="28">
        <v>5</v>
      </c>
      <c r="T103" s="93">
        <v>7</v>
      </c>
      <c r="U103" s="93">
        <v>19</v>
      </c>
      <c r="V103" s="93">
        <v>55</v>
      </c>
      <c r="W103" s="94">
        <f t="shared" si="35"/>
        <v>8</v>
      </c>
      <c r="Y103" s="92">
        <v>5</v>
      </c>
      <c r="Z103" s="28">
        <v>60</v>
      </c>
    </row>
    <row r="104" spans="1:26" ht="12.75">
      <c r="A104">
        <v>2017</v>
      </c>
      <c r="B104" s="95" t="s">
        <v>41</v>
      </c>
      <c r="C104" s="24">
        <v>42917</v>
      </c>
      <c r="D104" s="26">
        <v>0</v>
      </c>
      <c r="E104" s="83">
        <f aca="true" t="shared" si="36" ref="E104:E109">AVERAGE(D79:D104)</f>
        <v>0.06234174858021121</v>
      </c>
      <c r="G104">
        <v>5</v>
      </c>
      <c r="H104" s="28">
        <v>5</v>
      </c>
      <c r="I104" s="49">
        <v>70</v>
      </c>
      <c r="J104" s="49">
        <v>171</v>
      </c>
      <c r="K104" s="49">
        <v>293</v>
      </c>
      <c r="M104" s="49">
        <v>5</v>
      </c>
      <c r="N104" s="28">
        <v>240</v>
      </c>
      <c r="O104">
        <v>0</v>
      </c>
      <c r="P104" s="35">
        <f aca="true" t="shared" si="37" ref="P104:P109">AVERAGE(O79:O104)</f>
        <v>0.12362753369836413</v>
      </c>
      <c r="R104" s="92">
        <v>5</v>
      </c>
      <c r="S104" s="28">
        <v>5</v>
      </c>
      <c r="T104" s="93">
        <v>7</v>
      </c>
      <c r="U104" s="93">
        <v>18</v>
      </c>
      <c r="V104" s="93">
        <v>36</v>
      </c>
      <c r="W104" s="94">
        <f aca="true" t="shared" si="38" ref="W104:W109">MEDIAN(T81:T104)</f>
        <v>8</v>
      </c>
      <c r="Y104" s="92">
        <v>5</v>
      </c>
      <c r="Z104" s="28">
        <v>60</v>
      </c>
    </row>
    <row r="105" spans="1:26" ht="12.75">
      <c r="A105">
        <v>2017</v>
      </c>
      <c r="B105" s="95" t="s">
        <v>42</v>
      </c>
      <c r="C105" s="24">
        <v>42948</v>
      </c>
      <c r="D105" s="26">
        <v>0</v>
      </c>
      <c r="E105" s="83">
        <f t="shared" si="36"/>
        <v>0.06234174858021121</v>
      </c>
      <c r="G105">
        <v>5</v>
      </c>
      <c r="H105" s="28">
        <v>5</v>
      </c>
      <c r="I105" s="49">
        <v>62</v>
      </c>
      <c r="J105" s="49">
        <v>181</v>
      </c>
      <c r="K105" s="49">
        <v>283</v>
      </c>
      <c r="M105" s="49">
        <v>5</v>
      </c>
      <c r="N105" s="28">
        <v>240</v>
      </c>
      <c r="O105">
        <v>0.0773993808049536</v>
      </c>
      <c r="P105" s="35">
        <f t="shared" si="37"/>
        <v>0.1266044329600931</v>
      </c>
      <c r="R105" s="92">
        <v>5</v>
      </c>
      <c r="S105" s="28">
        <v>5</v>
      </c>
      <c r="T105" s="93">
        <v>6</v>
      </c>
      <c r="U105" s="93">
        <v>19</v>
      </c>
      <c r="V105" s="93">
        <v>45</v>
      </c>
      <c r="W105" s="94">
        <f t="shared" si="38"/>
        <v>8</v>
      </c>
      <c r="Y105" s="92">
        <v>5</v>
      </c>
      <c r="Z105" s="28">
        <v>60</v>
      </c>
    </row>
    <row r="106" spans="1:26" ht="12.75">
      <c r="A106">
        <v>2017</v>
      </c>
      <c r="B106" s="95" t="s">
        <v>43</v>
      </c>
      <c r="C106" s="24">
        <v>42979</v>
      </c>
      <c r="D106" s="26">
        <v>0.0800640512409928</v>
      </c>
      <c r="E106" s="83">
        <f t="shared" si="36"/>
        <v>0.06542113516640323</v>
      </c>
      <c r="G106">
        <v>5</v>
      </c>
      <c r="H106" s="28">
        <v>5</v>
      </c>
      <c r="I106" s="49">
        <v>75</v>
      </c>
      <c r="J106" s="49">
        <v>195</v>
      </c>
      <c r="K106" s="49">
        <v>343</v>
      </c>
      <c r="M106" s="49">
        <v>5</v>
      </c>
      <c r="N106" s="28">
        <v>240</v>
      </c>
      <c r="O106" s="26">
        <v>0.0800640512409928</v>
      </c>
      <c r="P106" s="35">
        <f t="shared" si="37"/>
        <v>0.11898023741413158</v>
      </c>
      <c r="R106" s="92">
        <v>5</v>
      </c>
      <c r="S106" s="28">
        <v>5</v>
      </c>
      <c r="T106" s="93">
        <v>8</v>
      </c>
      <c r="U106" s="93">
        <v>21</v>
      </c>
      <c r="V106" s="93">
        <v>72</v>
      </c>
      <c r="W106" s="94">
        <f t="shared" si="38"/>
        <v>8</v>
      </c>
      <c r="Y106" s="92">
        <v>5</v>
      </c>
      <c r="Z106" s="28">
        <v>60</v>
      </c>
    </row>
    <row r="107" spans="1:26" ht="12.75">
      <c r="A107">
        <v>2017</v>
      </c>
      <c r="B107" s="95" t="s">
        <v>44</v>
      </c>
      <c r="C107" s="24">
        <v>43009</v>
      </c>
      <c r="D107" s="26">
        <v>0.0745156482861401</v>
      </c>
      <c r="E107" s="83">
        <f t="shared" si="36"/>
        <v>0.05700807810183905</v>
      </c>
      <c r="G107">
        <v>5</v>
      </c>
      <c r="H107" s="28">
        <v>5</v>
      </c>
      <c r="I107" s="49">
        <v>78</v>
      </c>
      <c r="J107" s="49">
        <v>222</v>
      </c>
      <c r="K107" s="49">
        <v>375</v>
      </c>
      <c r="M107" s="49">
        <v>5</v>
      </c>
      <c r="N107" s="28">
        <v>240</v>
      </c>
      <c r="O107" s="26">
        <v>0.22354694485842</v>
      </c>
      <c r="P107" s="35">
        <f t="shared" si="37"/>
        <v>0.1162991532946551</v>
      </c>
      <c r="R107" s="92">
        <v>5</v>
      </c>
      <c r="S107" s="28">
        <v>5</v>
      </c>
      <c r="T107" s="93">
        <v>8</v>
      </c>
      <c r="U107" s="93">
        <v>27</v>
      </c>
      <c r="V107" s="93">
        <v>59</v>
      </c>
      <c r="W107" s="94">
        <f t="shared" si="38"/>
        <v>8</v>
      </c>
      <c r="Y107" s="92">
        <v>5</v>
      </c>
      <c r="Z107" s="28">
        <v>60</v>
      </c>
    </row>
    <row r="108" spans="1:26" ht="12.75">
      <c r="A108">
        <v>2017</v>
      </c>
      <c r="B108" s="95" t="s">
        <v>45</v>
      </c>
      <c r="C108" s="24">
        <v>43040</v>
      </c>
      <c r="D108" s="26">
        <v>0.0795544948289578</v>
      </c>
      <c r="E108" s="83">
        <f t="shared" si="36"/>
        <v>0.05306849630779639</v>
      </c>
      <c r="G108">
        <v>5</v>
      </c>
      <c r="H108" s="28">
        <v>5</v>
      </c>
      <c r="I108" s="49">
        <v>89</v>
      </c>
      <c r="J108" s="49">
        <v>217</v>
      </c>
      <c r="K108" s="49">
        <v>339</v>
      </c>
      <c r="M108" s="49">
        <v>5</v>
      </c>
      <c r="N108" s="28">
        <v>240</v>
      </c>
      <c r="O108" s="26">
        <v>0.0795544948289578</v>
      </c>
      <c r="P108" s="35">
        <f t="shared" si="37"/>
        <v>0.10536020144391751</v>
      </c>
      <c r="R108" s="92">
        <v>5</v>
      </c>
      <c r="S108" s="28">
        <v>5</v>
      </c>
      <c r="T108" s="93">
        <v>9</v>
      </c>
      <c r="U108" s="93">
        <v>29</v>
      </c>
      <c r="V108" s="93">
        <v>50</v>
      </c>
      <c r="W108" s="94">
        <f t="shared" si="38"/>
        <v>8</v>
      </c>
      <c r="Y108" s="92">
        <v>5</v>
      </c>
      <c r="Z108" s="28">
        <v>60</v>
      </c>
    </row>
    <row r="109" spans="1:26" ht="12.75">
      <c r="A109">
        <v>2017</v>
      </c>
      <c r="B109" s="95" t="s">
        <v>46</v>
      </c>
      <c r="C109" s="24">
        <v>43070</v>
      </c>
      <c r="D109" s="26">
        <v>0.0489356496207487</v>
      </c>
      <c r="E109" s="83">
        <f t="shared" si="36"/>
        <v>0.05495063667782519</v>
      </c>
      <c r="G109">
        <v>5</v>
      </c>
      <c r="H109" s="28">
        <v>5</v>
      </c>
      <c r="I109" s="49">
        <v>88</v>
      </c>
      <c r="J109" s="49">
        <v>232</v>
      </c>
      <c r="K109" s="49">
        <v>580</v>
      </c>
      <c r="M109" s="49">
        <v>5</v>
      </c>
      <c r="N109" s="28">
        <v>240</v>
      </c>
      <c r="O109" s="26">
        <v>0.122339124051872</v>
      </c>
      <c r="P109" s="35">
        <f t="shared" si="37"/>
        <v>0.10331791404240381</v>
      </c>
      <c r="R109" s="92">
        <v>5</v>
      </c>
      <c r="S109" s="28">
        <v>5</v>
      </c>
      <c r="T109" s="93">
        <v>8</v>
      </c>
      <c r="U109" s="93">
        <v>34</v>
      </c>
      <c r="V109" s="93">
        <v>115</v>
      </c>
      <c r="W109" s="94">
        <f t="shared" si="38"/>
        <v>8</v>
      </c>
      <c r="Y109" s="92">
        <v>5</v>
      </c>
      <c r="Z109" s="28">
        <v>60</v>
      </c>
    </row>
    <row r="110" spans="1:26" ht="12.75">
      <c r="A110">
        <v>2018</v>
      </c>
      <c r="B110" s="95" t="s">
        <v>35</v>
      </c>
      <c r="C110" s="24">
        <v>43101</v>
      </c>
      <c r="D110" s="26">
        <v>0.129132231404959</v>
      </c>
      <c r="E110" s="83">
        <f aca="true" t="shared" si="39" ref="E110:E115">AVERAGE(D85:D110)</f>
        <v>0.05991726096263131</v>
      </c>
      <c r="G110">
        <v>5</v>
      </c>
      <c r="H110" s="28">
        <v>5</v>
      </c>
      <c r="I110" s="49">
        <v>85</v>
      </c>
      <c r="J110" s="49">
        <v>235</v>
      </c>
      <c r="K110" s="49">
        <v>382</v>
      </c>
      <c r="M110" s="49">
        <v>5</v>
      </c>
      <c r="N110" s="28">
        <v>240</v>
      </c>
      <c r="O110" s="26">
        <v>0.0258264462809917</v>
      </c>
      <c r="P110" s="35">
        <f aca="true" t="shared" si="40" ref="P110:P115">AVERAGE(O85:O110)</f>
        <v>0.10086177356649163</v>
      </c>
      <c r="R110" s="92">
        <v>5</v>
      </c>
      <c r="S110" s="28">
        <v>5</v>
      </c>
      <c r="T110" s="93">
        <v>7</v>
      </c>
      <c r="U110" s="93">
        <v>27</v>
      </c>
      <c r="V110" s="93">
        <v>60</v>
      </c>
      <c r="W110" s="94">
        <f>MEDIAN(T87:T110)</f>
        <v>7.5</v>
      </c>
      <c r="Y110" s="92">
        <v>5</v>
      </c>
      <c r="Z110" s="28">
        <v>60</v>
      </c>
    </row>
    <row r="111" spans="1:26" ht="12.75">
      <c r="A111">
        <v>2018</v>
      </c>
      <c r="B111" s="95" t="s">
        <v>36</v>
      </c>
      <c r="C111" s="24">
        <v>43132</v>
      </c>
      <c r="D111" s="26">
        <v>0</v>
      </c>
      <c r="E111" s="83">
        <f t="shared" si="39"/>
        <v>0.05991726096263131</v>
      </c>
      <c r="G111">
        <v>5</v>
      </c>
      <c r="H111" s="28">
        <v>5</v>
      </c>
      <c r="I111" s="49">
        <v>84</v>
      </c>
      <c r="J111" s="49">
        <v>227</v>
      </c>
      <c r="K111" s="49">
        <v>394</v>
      </c>
      <c r="M111" s="49">
        <v>5</v>
      </c>
      <c r="N111" s="28">
        <v>240</v>
      </c>
      <c r="O111" s="26">
        <v>0</v>
      </c>
      <c r="P111" s="35">
        <f t="shared" si="40"/>
        <v>0.0976459258690386</v>
      </c>
      <c r="R111" s="92">
        <v>5</v>
      </c>
      <c r="S111" s="28">
        <v>5</v>
      </c>
      <c r="T111" s="93">
        <v>8</v>
      </c>
      <c r="U111" s="93">
        <v>31</v>
      </c>
      <c r="V111" s="93">
        <v>91</v>
      </c>
      <c r="W111" s="94">
        <f>MEDIAN(T88:T111)</f>
        <v>7.5</v>
      </c>
      <c r="Y111" s="92">
        <v>5</v>
      </c>
      <c r="Z111" s="28">
        <v>60</v>
      </c>
    </row>
    <row r="112" spans="1:26" ht="12.75">
      <c r="A112">
        <v>2018</v>
      </c>
      <c r="B112" s="95" t="s">
        <v>37</v>
      </c>
      <c r="C112" s="24">
        <v>43160</v>
      </c>
      <c r="D112" s="26">
        <v>0.0254258835494533</v>
      </c>
      <c r="E112" s="83">
        <f t="shared" si="39"/>
        <v>0.0608951795606872</v>
      </c>
      <c r="G112">
        <v>5</v>
      </c>
      <c r="H112" s="28">
        <v>5</v>
      </c>
      <c r="I112" s="49">
        <v>85</v>
      </c>
      <c r="J112" s="49">
        <v>235</v>
      </c>
      <c r="K112" s="49">
        <v>334</v>
      </c>
      <c r="M112" s="49">
        <v>5</v>
      </c>
      <c r="N112" s="28">
        <v>240</v>
      </c>
      <c r="O112" s="26">
        <v>0</v>
      </c>
      <c r="P112" s="35">
        <f t="shared" si="40"/>
        <v>0.08872903132617803</v>
      </c>
      <c r="R112" s="92">
        <v>5</v>
      </c>
      <c r="S112" s="28">
        <v>5</v>
      </c>
      <c r="T112" s="93">
        <v>8</v>
      </c>
      <c r="U112" s="93">
        <v>29</v>
      </c>
      <c r="V112" s="93">
        <v>83</v>
      </c>
      <c r="W112" s="94">
        <f aca="true" t="shared" si="41" ref="W112:W136">MEDIAN(T89:T112)</f>
        <v>7.5</v>
      </c>
      <c r="Y112" s="92">
        <v>5</v>
      </c>
      <c r="Z112" s="28">
        <v>60</v>
      </c>
    </row>
    <row r="113" spans="1:26" ht="12.75">
      <c r="A113">
        <v>2018</v>
      </c>
      <c r="B113" s="95" t="s">
        <v>38</v>
      </c>
      <c r="C113" s="24">
        <v>43191</v>
      </c>
      <c r="D113" s="26">
        <v>0.08110300081103</v>
      </c>
      <c r="E113" s="83">
        <f t="shared" si="39"/>
        <v>0.06401452574572682</v>
      </c>
      <c r="G113">
        <v>5</v>
      </c>
      <c r="H113" s="28">
        <v>5</v>
      </c>
      <c r="I113" s="49">
        <v>75</v>
      </c>
      <c r="J113" s="49">
        <v>213</v>
      </c>
      <c r="K113" s="49">
        <v>343</v>
      </c>
      <c r="M113" s="49">
        <v>5</v>
      </c>
      <c r="N113" s="28">
        <v>240</v>
      </c>
      <c r="O113" s="26">
        <v>0.0270343336036767</v>
      </c>
      <c r="P113" s="35">
        <f t="shared" si="40"/>
        <v>0.08058214018844587</v>
      </c>
      <c r="R113" s="92">
        <v>5</v>
      </c>
      <c r="S113" s="28">
        <v>5</v>
      </c>
      <c r="T113" s="93">
        <v>7</v>
      </c>
      <c r="U113" s="93">
        <v>21</v>
      </c>
      <c r="V113" s="93">
        <v>74</v>
      </c>
      <c r="W113" s="94">
        <f t="shared" si="41"/>
        <v>7.5</v>
      </c>
      <c r="Y113" s="92">
        <v>5</v>
      </c>
      <c r="Z113" s="28">
        <v>60</v>
      </c>
    </row>
    <row r="114" spans="1:26" ht="12.75">
      <c r="A114">
        <v>2018</v>
      </c>
      <c r="B114" s="95" t="s">
        <v>39</v>
      </c>
      <c r="C114" s="24">
        <v>43221</v>
      </c>
      <c r="D114" s="26">
        <v>0</v>
      </c>
      <c r="E114" s="83">
        <f t="shared" si="39"/>
        <v>0.06124352153380041</v>
      </c>
      <c r="G114">
        <v>5</v>
      </c>
      <c r="H114" s="28">
        <v>5</v>
      </c>
      <c r="I114" s="49">
        <v>79</v>
      </c>
      <c r="J114" s="49">
        <v>214</v>
      </c>
      <c r="K114" s="49">
        <v>363</v>
      </c>
      <c r="M114" s="49">
        <v>5</v>
      </c>
      <c r="N114" s="28">
        <v>240</v>
      </c>
      <c r="O114" s="26">
        <v>0.0499875031242189</v>
      </c>
      <c r="P114" s="35">
        <f t="shared" si="40"/>
        <v>0.07142071961474868</v>
      </c>
      <c r="R114" s="92">
        <v>5</v>
      </c>
      <c r="S114" s="28">
        <v>5</v>
      </c>
      <c r="T114" s="93">
        <v>6</v>
      </c>
      <c r="U114" s="93">
        <v>23</v>
      </c>
      <c r="V114" s="93">
        <v>65</v>
      </c>
      <c r="W114" s="94">
        <f t="shared" si="41"/>
        <v>7</v>
      </c>
      <c r="Y114" s="92">
        <v>5</v>
      </c>
      <c r="Z114" s="28">
        <v>60</v>
      </c>
    </row>
    <row r="115" spans="1:26" ht="12.75">
      <c r="A115">
        <v>2018</v>
      </c>
      <c r="B115" s="95" t="s">
        <v>40</v>
      </c>
      <c r="C115" s="24">
        <v>43252</v>
      </c>
      <c r="D115" s="26">
        <v>0.0818553888130969</v>
      </c>
      <c r="E115" s="83">
        <f t="shared" si="39"/>
        <v>0.06107042934054832</v>
      </c>
      <c r="G115">
        <v>5</v>
      </c>
      <c r="H115" s="28">
        <v>5</v>
      </c>
      <c r="I115" s="49">
        <v>81</v>
      </c>
      <c r="J115" s="49">
        <v>207</v>
      </c>
      <c r="K115" s="49">
        <v>387</v>
      </c>
      <c r="M115" s="49">
        <v>5</v>
      </c>
      <c r="N115" s="28">
        <v>240</v>
      </c>
      <c r="O115" s="26">
        <v>0</v>
      </c>
      <c r="P115" s="35">
        <f t="shared" si="40"/>
        <v>0.06809934323637748</v>
      </c>
      <c r="R115" s="92">
        <v>5</v>
      </c>
      <c r="S115" s="28">
        <v>5</v>
      </c>
      <c r="T115" s="93">
        <v>8</v>
      </c>
      <c r="U115" s="93">
        <v>26</v>
      </c>
      <c r="V115" s="93">
        <v>72</v>
      </c>
      <c r="W115" s="94">
        <f t="shared" si="41"/>
        <v>7</v>
      </c>
      <c r="Y115" s="92">
        <v>5</v>
      </c>
      <c r="Z115" s="28">
        <v>60</v>
      </c>
    </row>
    <row r="116" spans="1:26" ht="12.75">
      <c r="A116">
        <v>2018</v>
      </c>
      <c r="B116" s="95" t="s">
        <v>41</v>
      </c>
      <c r="C116" s="24">
        <v>43282</v>
      </c>
      <c r="D116" s="26">
        <v>0.0510073960724305</v>
      </c>
      <c r="E116" s="83">
        <f aca="true" t="shared" si="42" ref="E116:E121">AVERAGE(D91:D116)</f>
        <v>0.06303225226641103</v>
      </c>
      <c r="G116">
        <v>5</v>
      </c>
      <c r="H116" s="28">
        <v>5</v>
      </c>
      <c r="I116" s="49">
        <v>84</v>
      </c>
      <c r="J116" s="49">
        <v>210</v>
      </c>
      <c r="K116" s="49">
        <v>352</v>
      </c>
      <c r="M116" s="49">
        <v>5</v>
      </c>
      <c r="N116" s="28">
        <v>240</v>
      </c>
      <c r="O116" s="26">
        <v>0.0255036980362153</v>
      </c>
      <c r="P116" s="35">
        <f aca="true" t="shared" si="43" ref="P116:P121">AVERAGE(O91:O116)</f>
        <v>0.06817456698043431</v>
      </c>
      <c r="R116" s="92">
        <v>5</v>
      </c>
      <c r="S116" s="28">
        <v>5</v>
      </c>
      <c r="T116" s="93">
        <v>8</v>
      </c>
      <c r="U116" s="93">
        <v>29</v>
      </c>
      <c r="V116" s="93">
        <v>230</v>
      </c>
      <c r="W116" s="94">
        <f t="shared" si="41"/>
        <v>7</v>
      </c>
      <c r="Y116" s="92">
        <v>5</v>
      </c>
      <c r="Z116" s="28">
        <v>60</v>
      </c>
    </row>
    <row r="117" spans="1:26" ht="12.75">
      <c r="A117">
        <v>2018</v>
      </c>
      <c r="B117" s="95" t="s">
        <v>42</v>
      </c>
      <c r="C117" s="24">
        <v>43313</v>
      </c>
      <c r="D117" s="26">
        <v>0.0292825768667643</v>
      </c>
      <c r="E117" s="83">
        <f t="shared" si="42"/>
        <v>0.06089074494571897</v>
      </c>
      <c r="G117">
        <v>5</v>
      </c>
      <c r="H117" s="28">
        <v>5</v>
      </c>
      <c r="I117" s="49">
        <v>75</v>
      </c>
      <c r="J117" s="49">
        <v>189</v>
      </c>
      <c r="K117" s="49">
        <v>303</v>
      </c>
      <c r="M117" s="49">
        <v>5</v>
      </c>
      <c r="N117" s="28">
        <v>240</v>
      </c>
      <c r="O117" s="26">
        <v>0.0292825768667643</v>
      </c>
      <c r="P117" s="35">
        <f t="shared" si="43"/>
        <v>0.06603305965974225</v>
      </c>
      <c r="R117" s="92">
        <v>5</v>
      </c>
      <c r="S117" s="28">
        <v>5</v>
      </c>
      <c r="T117" s="93">
        <v>7</v>
      </c>
      <c r="U117" s="93">
        <v>24</v>
      </c>
      <c r="V117" s="93">
        <v>64</v>
      </c>
      <c r="W117" s="94">
        <f t="shared" si="41"/>
        <v>7</v>
      </c>
      <c r="Y117" s="92">
        <v>5</v>
      </c>
      <c r="Z117" s="28">
        <v>60</v>
      </c>
    </row>
    <row r="118" spans="1:26" ht="12.75">
      <c r="A118">
        <v>2018</v>
      </c>
      <c r="B118" s="95" t="s">
        <v>43</v>
      </c>
      <c r="C118" s="24">
        <v>43344</v>
      </c>
      <c r="D118" s="26">
        <v>0.0584795321637427</v>
      </c>
      <c r="E118" s="83">
        <f t="shared" si="42"/>
        <v>0.05700574106071509</v>
      </c>
      <c r="G118">
        <v>5</v>
      </c>
      <c r="H118" s="28">
        <v>5</v>
      </c>
      <c r="I118" s="49">
        <v>78</v>
      </c>
      <c r="J118" s="49">
        <v>205</v>
      </c>
      <c r="K118" s="49">
        <v>378</v>
      </c>
      <c r="M118" s="49">
        <v>5</v>
      </c>
      <c r="N118" s="28">
        <v>240</v>
      </c>
      <c r="O118" s="26">
        <v>0.0292397660818713</v>
      </c>
      <c r="P118" s="35">
        <f t="shared" si="43"/>
        <v>0.06409055771724029</v>
      </c>
      <c r="R118" s="92">
        <v>5</v>
      </c>
      <c r="S118" s="28">
        <v>5</v>
      </c>
      <c r="T118" s="93">
        <v>7</v>
      </c>
      <c r="U118" s="93">
        <v>24</v>
      </c>
      <c r="V118" s="93">
        <v>54</v>
      </c>
      <c r="W118" s="94">
        <f t="shared" si="41"/>
        <v>7</v>
      </c>
      <c r="Y118" s="92">
        <v>5</v>
      </c>
      <c r="Z118" s="28">
        <v>60</v>
      </c>
    </row>
    <row r="119" spans="1:26" ht="12.75">
      <c r="A119">
        <v>2018</v>
      </c>
      <c r="B119" s="95" t="s">
        <v>44</v>
      </c>
      <c r="C119" s="24">
        <v>43374</v>
      </c>
      <c r="D119" s="26">
        <v>0.14052838673412</v>
      </c>
      <c r="E119" s="83">
        <f t="shared" si="42"/>
        <v>0.059097885001558964</v>
      </c>
      <c r="G119">
        <v>5</v>
      </c>
      <c r="H119" s="28">
        <v>5</v>
      </c>
      <c r="I119" s="49">
        <v>103</v>
      </c>
      <c r="J119" s="49">
        <v>227</v>
      </c>
      <c r="K119" s="49">
        <v>385</v>
      </c>
      <c r="M119" s="49">
        <v>5</v>
      </c>
      <c r="N119" s="28">
        <v>240</v>
      </c>
      <c r="O119" s="26">
        <v>0.0281056773468241</v>
      </c>
      <c r="P119" s="35">
        <f t="shared" si="43"/>
        <v>0.06517154530750276</v>
      </c>
      <c r="R119" s="92">
        <v>5</v>
      </c>
      <c r="S119" s="28">
        <v>5</v>
      </c>
      <c r="T119" s="93">
        <v>9</v>
      </c>
      <c r="U119" s="93">
        <v>24</v>
      </c>
      <c r="V119" s="93">
        <v>48</v>
      </c>
      <c r="W119" s="94">
        <f t="shared" si="41"/>
        <v>7.5</v>
      </c>
      <c r="Y119" s="92">
        <v>5</v>
      </c>
      <c r="Z119" s="28">
        <v>60</v>
      </c>
    </row>
    <row r="120" spans="1:26" ht="12.75">
      <c r="A120">
        <v>2018</v>
      </c>
      <c r="B120" s="95" t="s">
        <v>45</v>
      </c>
      <c r="C120" s="24">
        <v>43405</v>
      </c>
      <c r="D120" s="26">
        <v>0</v>
      </c>
      <c r="E120" s="83">
        <f t="shared" si="42"/>
        <v>0.05579929679731039</v>
      </c>
      <c r="G120">
        <v>5</v>
      </c>
      <c r="H120" s="28">
        <v>5</v>
      </c>
      <c r="I120" s="49">
        <v>89</v>
      </c>
      <c r="J120" s="49">
        <v>216</v>
      </c>
      <c r="K120" s="49">
        <v>372</v>
      </c>
      <c r="M120" s="49">
        <v>5</v>
      </c>
      <c r="N120" s="28">
        <v>240</v>
      </c>
      <c r="O120" s="26">
        <v>0</v>
      </c>
      <c r="P120" s="35">
        <f t="shared" si="43"/>
        <v>0.06517154530750276</v>
      </c>
      <c r="R120" s="92">
        <v>5</v>
      </c>
      <c r="S120" s="28">
        <v>5</v>
      </c>
      <c r="T120" s="93">
        <v>9</v>
      </c>
      <c r="U120" s="93">
        <v>25</v>
      </c>
      <c r="V120" s="93">
        <v>123</v>
      </c>
      <c r="W120" s="94">
        <f t="shared" si="41"/>
        <v>7.5</v>
      </c>
      <c r="Y120" s="92">
        <v>5</v>
      </c>
      <c r="Z120" s="28">
        <v>60</v>
      </c>
    </row>
    <row r="121" spans="1:26" ht="12.75">
      <c r="A121">
        <v>2018</v>
      </c>
      <c r="B121" s="95" t="s">
        <v>46</v>
      </c>
      <c r="C121" s="24">
        <v>43435</v>
      </c>
      <c r="D121" s="26">
        <v>0</v>
      </c>
      <c r="E121" s="83">
        <f t="shared" si="42"/>
        <v>0.04312663173584795</v>
      </c>
      <c r="G121">
        <v>5</v>
      </c>
      <c r="H121" s="28">
        <v>5</v>
      </c>
      <c r="I121" s="49">
        <v>93</v>
      </c>
      <c r="J121" s="49">
        <v>228</v>
      </c>
      <c r="K121" s="49">
        <v>516</v>
      </c>
      <c r="M121" s="49">
        <v>5</v>
      </c>
      <c r="N121" s="28">
        <v>240</v>
      </c>
      <c r="O121" s="26">
        <v>0</v>
      </c>
      <c r="P121" s="35">
        <f t="shared" si="43"/>
        <v>0.058835212776771534</v>
      </c>
      <c r="R121" s="92">
        <v>5</v>
      </c>
      <c r="S121" s="28">
        <v>5</v>
      </c>
      <c r="T121" s="93">
        <v>9</v>
      </c>
      <c r="U121" s="93">
        <v>24</v>
      </c>
      <c r="V121" s="93">
        <v>61</v>
      </c>
      <c r="W121" s="94">
        <f t="shared" si="41"/>
        <v>8</v>
      </c>
      <c r="Y121" s="92">
        <v>5</v>
      </c>
      <c r="Z121" s="28">
        <v>60</v>
      </c>
    </row>
    <row r="122" spans="1:26" ht="12.75">
      <c r="A122">
        <v>2019</v>
      </c>
      <c r="B122" s="95" t="s">
        <v>35</v>
      </c>
      <c r="C122" s="24">
        <v>43466</v>
      </c>
      <c r="D122" s="26">
        <v>0.3</v>
      </c>
      <c r="E122" s="83">
        <f aca="true" t="shared" si="44" ref="E122:E127">AVERAGE(D97:D122)</f>
        <v>0.05466509327430949</v>
      </c>
      <c r="G122">
        <v>5</v>
      </c>
      <c r="H122" s="28">
        <v>5</v>
      </c>
      <c r="I122" s="49">
        <v>104</v>
      </c>
      <c r="J122" s="49">
        <v>236</v>
      </c>
      <c r="K122" s="49">
        <v>392</v>
      </c>
      <c r="M122" s="49">
        <v>5</v>
      </c>
      <c r="N122" s="28">
        <v>240</v>
      </c>
      <c r="O122" s="26">
        <v>0.23</v>
      </c>
      <c r="P122" s="35">
        <f aca="true" t="shared" si="45" ref="P122:P127">AVERAGE(O97:O122)</f>
        <v>0.061151394048810176</v>
      </c>
      <c r="R122" s="92">
        <v>5</v>
      </c>
      <c r="S122" s="28">
        <v>5</v>
      </c>
      <c r="T122" s="93">
        <v>10</v>
      </c>
      <c r="U122" s="93">
        <v>28</v>
      </c>
      <c r="V122" s="93">
        <v>95</v>
      </c>
      <c r="W122" s="94">
        <f t="shared" si="41"/>
        <v>8</v>
      </c>
      <c r="Y122" s="92">
        <v>5</v>
      </c>
      <c r="Z122" s="28">
        <v>60</v>
      </c>
    </row>
    <row r="123" spans="1:26" ht="12.75">
      <c r="A123">
        <v>2019</v>
      </c>
      <c r="B123" s="95" t="s">
        <v>36</v>
      </c>
      <c r="C123" s="24">
        <v>43497</v>
      </c>
      <c r="D123" s="26">
        <v>0</v>
      </c>
      <c r="E123" s="83">
        <f t="shared" si="44"/>
        <v>0.05157829243469966</v>
      </c>
      <c r="G123">
        <v>5</v>
      </c>
      <c r="H123" s="28">
        <v>5</v>
      </c>
      <c r="I123" s="49">
        <v>125</v>
      </c>
      <c r="J123" s="49">
        <v>240</v>
      </c>
      <c r="K123" s="49">
        <v>394</v>
      </c>
      <c r="M123" s="49">
        <v>5</v>
      </c>
      <c r="N123" s="28">
        <v>240</v>
      </c>
      <c r="O123" s="26">
        <v>0</v>
      </c>
      <c r="P123" s="35">
        <f t="shared" si="45"/>
        <v>0.054977792369590536</v>
      </c>
      <c r="R123" s="92">
        <v>5</v>
      </c>
      <c r="S123" s="28">
        <v>5</v>
      </c>
      <c r="T123" s="93">
        <v>11</v>
      </c>
      <c r="U123" s="93">
        <v>30</v>
      </c>
      <c r="V123" s="93">
        <v>93</v>
      </c>
      <c r="W123" s="94">
        <f t="shared" si="41"/>
        <v>8</v>
      </c>
      <c r="Y123" s="92">
        <v>5</v>
      </c>
      <c r="Z123" s="28">
        <v>60</v>
      </c>
    </row>
    <row r="124" spans="1:26" ht="12.75">
      <c r="A124">
        <v>2019</v>
      </c>
      <c r="B124" s="95" t="s">
        <v>37</v>
      </c>
      <c r="C124" s="24">
        <v>43525</v>
      </c>
      <c r="D124" s="26">
        <v>0</v>
      </c>
      <c r="E124" s="83">
        <f t="shared" si="44"/>
        <v>0.04856406528254147</v>
      </c>
      <c r="G124">
        <v>5</v>
      </c>
      <c r="H124" s="28">
        <v>5</v>
      </c>
      <c r="I124" s="49">
        <v>105</v>
      </c>
      <c r="J124" s="49">
        <v>238</v>
      </c>
      <c r="K124" s="49">
        <v>473</v>
      </c>
      <c r="M124" s="49">
        <v>5</v>
      </c>
      <c r="N124" s="28">
        <v>240</v>
      </c>
      <c r="O124" s="26">
        <v>0.06</v>
      </c>
      <c r="P124" s="35">
        <f t="shared" si="45"/>
        <v>0.05125703037296646</v>
      </c>
      <c r="R124" s="92">
        <v>5</v>
      </c>
      <c r="S124" s="28">
        <v>5</v>
      </c>
      <c r="T124" s="93">
        <v>9</v>
      </c>
      <c r="U124" s="93">
        <v>23</v>
      </c>
      <c r="V124" s="93">
        <v>60</v>
      </c>
      <c r="W124" s="94">
        <f t="shared" si="41"/>
        <v>8</v>
      </c>
      <c r="Y124" s="92">
        <v>5</v>
      </c>
      <c r="Z124" s="28">
        <v>60</v>
      </c>
    </row>
    <row r="125" spans="1:26" ht="12.75">
      <c r="A125">
        <v>2019</v>
      </c>
      <c r="B125" s="95" t="s">
        <v>38</v>
      </c>
      <c r="C125" s="24">
        <v>43556</v>
      </c>
      <c r="D125" s="26">
        <v>0.03</v>
      </c>
      <c r="E125" s="83">
        <f t="shared" si="44"/>
        <v>0.04971791143638763</v>
      </c>
      <c r="G125">
        <v>5</v>
      </c>
      <c r="H125" s="28">
        <v>5</v>
      </c>
      <c r="I125" s="49">
        <v>100</v>
      </c>
      <c r="J125" s="49">
        <v>226</v>
      </c>
      <c r="K125" s="49">
        <v>352</v>
      </c>
      <c r="M125" s="49">
        <v>5</v>
      </c>
      <c r="N125" s="28">
        <v>240</v>
      </c>
      <c r="O125" s="26">
        <v>0.06</v>
      </c>
      <c r="P125" s="35">
        <f t="shared" si="45"/>
        <v>0.050268961030141335</v>
      </c>
      <c r="R125" s="92">
        <v>5</v>
      </c>
      <c r="S125" s="28">
        <v>5</v>
      </c>
      <c r="T125" s="93">
        <v>8</v>
      </c>
      <c r="U125" s="93">
        <v>28</v>
      </c>
      <c r="V125" s="93">
        <v>80</v>
      </c>
      <c r="W125" s="94">
        <f t="shared" si="41"/>
        <v>8</v>
      </c>
      <c r="Y125" s="92">
        <v>5</v>
      </c>
      <c r="Z125" s="28">
        <v>60</v>
      </c>
    </row>
    <row r="126" spans="1:26" ht="12.75">
      <c r="A126">
        <v>2019</v>
      </c>
      <c r="B126" s="95" t="s">
        <v>39</v>
      </c>
      <c r="C126" s="24">
        <v>43586</v>
      </c>
      <c r="D126" s="26">
        <v>0.03</v>
      </c>
      <c r="E126" s="83">
        <f t="shared" si="44"/>
        <v>0.05087175759023378</v>
      </c>
      <c r="G126">
        <v>5</v>
      </c>
      <c r="H126" s="28">
        <v>5</v>
      </c>
      <c r="I126" s="49">
        <v>101</v>
      </c>
      <c r="J126" s="49">
        <v>211</v>
      </c>
      <c r="K126" s="49">
        <v>386</v>
      </c>
      <c r="M126" s="49">
        <v>5</v>
      </c>
      <c r="N126" s="28">
        <v>240</v>
      </c>
      <c r="O126" s="26">
        <v>0.12</v>
      </c>
      <c r="P126" s="35">
        <f t="shared" si="45"/>
        <v>0.04876476912022149</v>
      </c>
      <c r="R126" s="92">
        <v>5</v>
      </c>
      <c r="S126" s="28">
        <v>5</v>
      </c>
      <c r="T126" s="93">
        <v>8</v>
      </c>
      <c r="U126" s="93">
        <v>21</v>
      </c>
      <c r="V126" s="93">
        <v>43</v>
      </c>
      <c r="W126" s="94">
        <f t="shared" si="41"/>
        <v>8</v>
      </c>
      <c r="Y126" s="92">
        <v>5</v>
      </c>
      <c r="Z126" s="28">
        <v>60</v>
      </c>
    </row>
    <row r="127" spans="1:26" ht="12.75">
      <c r="A127">
        <v>2019</v>
      </c>
      <c r="B127" s="95" t="s">
        <v>40</v>
      </c>
      <c r="C127" s="24">
        <v>43617</v>
      </c>
      <c r="D127" s="26">
        <v>0.03</v>
      </c>
      <c r="E127" s="83">
        <f t="shared" si="44"/>
        <v>0.04884170155355524</v>
      </c>
      <c r="G127">
        <v>5</v>
      </c>
      <c r="H127" s="28">
        <v>5</v>
      </c>
      <c r="I127" s="49">
        <v>94</v>
      </c>
      <c r="J127" s="49">
        <v>218</v>
      </c>
      <c r="K127" s="49">
        <v>432</v>
      </c>
      <c r="M127" s="49">
        <v>5</v>
      </c>
      <c r="N127" s="28">
        <v>240</v>
      </c>
      <c r="O127" s="26">
        <v>0.09</v>
      </c>
      <c r="P127" s="35">
        <f t="shared" si="45"/>
        <v>0.05222630758175995</v>
      </c>
      <c r="R127" s="92">
        <v>5</v>
      </c>
      <c r="S127" s="28">
        <v>5</v>
      </c>
      <c r="T127" s="93">
        <v>7</v>
      </c>
      <c r="U127" s="93">
        <v>22</v>
      </c>
      <c r="V127" s="93">
        <v>66</v>
      </c>
      <c r="W127" s="94">
        <f t="shared" si="41"/>
        <v>8</v>
      </c>
      <c r="Y127" s="92">
        <v>5</v>
      </c>
      <c r="Z127" s="28">
        <v>60</v>
      </c>
    </row>
    <row r="128" spans="1:26" ht="12.75">
      <c r="A128">
        <v>2019</v>
      </c>
      <c r="B128" s="95" t="s">
        <v>41</v>
      </c>
      <c r="C128" s="24">
        <v>43647</v>
      </c>
      <c r="D128" s="26">
        <v>0.06</v>
      </c>
      <c r="E128" s="83">
        <f>AVERAGE(D103:D128)</f>
        <v>0.05114939386124755</v>
      </c>
      <c r="G128">
        <v>5</v>
      </c>
      <c r="H128" s="28">
        <v>5</v>
      </c>
      <c r="I128" s="49">
        <v>97</v>
      </c>
      <c r="J128" s="49">
        <v>224</v>
      </c>
      <c r="K128" s="49">
        <v>357</v>
      </c>
      <c r="M128" s="49">
        <v>5</v>
      </c>
      <c r="N128" s="28">
        <v>240</v>
      </c>
      <c r="O128" s="26">
        <v>0.06</v>
      </c>
      <c r="P128" s="35">
        <f>AVERAGE(O103:O128)</f>
        <v>0.05453399988945226</v>
      </c>
      <c r="R128" s="92">
        <v>5</v>
      </c>
      <c r="S128" s="28">
        <v>5</v>
      </c>
      <c r="T128" s="93">
        <v>8</v>
      </c>
      <c r="U128" s="93">
        <v>25</v>
      </c>
      <c r="V128" s="93">
        <v>67</v>
      </c>
      <c r="W128" s="94">
        <f t="shared" si="41"/>
        <v>8</v>
      </c>
      <c r="Y128" s="92">
        <v>5</v>
      </c>
      <c r="Z128" s="28">
        <v>60</v>
      </c>
    </row>
    <row r="129" spans="1:26" ht="12.75">
      <c r="A129">
        <v>2019</v>
      </c>
      <c r="B129" s="95" t="s">
        <v>42</v>
      </c>
      <c r="C129" s="24">
        <v>43678</v>
      </c>
      <c r="D129" s="26">
        <v>0</v>
      </c>
      <c r="E129" s="83">
        <f>AVERAGE(D104:D129)</f>
        <v>0.05114939386124755</v>
      </c>
      <c r="G129">
        <v>5</v>
      </c>
      <c r="H129" s="28">
        <v>5</v>
      </c>
      <c r="I129" s="49">
        <v>86</v>
      </c>
      <c r="J129" s="49">
        <v>212</v>
      </c>
      <c r="K129" s="49">
        <v>448</v>
      </c>
      <c r="M129" s="49">
        <v>5</v>
      </c>
      <c r="N129" s="28">
        <v>240</v>
      </c>
      <c r="O129" s="26">
        <v>0.0894187779433681</v>
      </c>
      <c r="P129" s="35">
        <f>AVERAGE(O104:O129)</f>
        <v>0.05797318365650488</v>
      </c>
      <c r="R129" s="92">
        <v>5</v>
      </c>
      <c r="S129" s="28">
        <v>5</v>
      </c>
      <c r="T129" s="93">
        <v>7</v>
      </c>
      <c r="U129" s="93">
        <v>17</v>
      </c>
      <c r="V129" s="93">
        <v>51</v>
      </c>
      <c r="W129" s="94">
        <f t="shared" si="41"/>
        <v>8</v>
      </c>
      <c r="Y129" s="92">
        <v>5</v>
      </c>
      <c r="Z129" s="28">
        <v>60</v>
      </c>
    </row>
    <row r="130" spans="1:26" ht="12.75">
      <c r="A130">
        <v>2019</v>
      </c>
      <c r="B130" s="95" t="s">
        <v>43</v>
      </c>
      <c r="C130" s="24">
        <v>43709</v>
      </c>
      <c r="D130" s="26">
        <v>0</v>
      </c>
      <c r="E130" s="83">
        <f aca="true" t="shared" si="46" ref="E130:E136">AVERAGE(D105:D130)</f>
        <v>0.05114939386124755</v>
      </c>
      <c r="G130">
        <v>5</v>
      </c>
      <c r="H130" s="28">
        <v>5</v>
      </c>
      <c r="I130" s="49">
        <v>89</v>
      </c>
      <c r="J130" s="49">
        <v>204</v>
      </c>
      <c r="K130" s="49">
        <v>355</v>
      </c>
      <c r="M130" s="49">
        <v>5</v>
      </c>
      <c r="N130" s="28">
        <v>240</v>
      </c>
      <c r="O130" s="26">
        <v>0</v>
      </c>
      <c r="P130" s="35">
        <f>AVERAGE(O105:O130)</f>
        <v>0.05797318365650488</v>
      </c>
      <c r="R130" s="92">
        <v>5</v>
      </c>
      <c r="S130" s="28">
        <v>5</v>
      </c>
      <c r="T130" s="93">
        <v>7</v>
      </c>
      <c r="U130" s="93">
        <v>16</v>
      </c>
      <c r="V130" s="93">
        <v>34</v>
      </c>
      <c r="W130" s="94">
        <f t="shared" si="41"/>
        <v>8</v>
      </c>
      <c r="Y130" s="92">
        <v>5</v>
      </c>
      <c r="Z130" s="28">
        <v>60</v>
      </c>
    </row>
    <row r="131" spans="1:26" ht="12.75">
      <c r="A131">
        <v>2019</v>
      </c>
      <c r="B131" s="95" t="s">
        <v>44</v>
      </c>
      <c r="C131" s="24">
        <v>43739</v>
      </c>
      <c r="D131" s="26">
        <v>0</v>
      </c>
      <c r="E131" s="83">
        <f t="shared" si="46"/>
        <v>0.05114939386124755</v>
      </c>
      <c r="G131">
        <v>5</v>
      </c>
      <c r="H131" s="28">
        <v>5</v>
      </c>
      <c r="I131" s="49">
        <v>87</v>
      </c>
      <c r="J131" s="49">
        <v>218</v>
      </c>
      <c r="K131" s="49">
        <v>349</v>
      </c>
      <c r="M131" s="49">
        <v>5</v>
      </c>
      <c r="N131" s="28">
        <v>240</v>
      </c>
      <c r="O131" s="26">
        <v>0.0810591731964334</v>
      </c>
      <c r="P131" s="35">
        <f aca="true" t="shared" si="47" ref="P131:P136">AVERAGE(O106:O131)</f>
        <v>0.05811394490233103</v>
      </c>
      <c r="R131" s="92">
        <v>5</v>
      </c>
      <c r="S131" s="28">
        <v>5</v>
      </c>
      <c r="T131" s="93">
        <v>7</v>
      </c>
      <c r="U131" s="93">
        <v>18</v>
      </c>
      <c r="V131" s="93">
        <v>48</v>
      </c>
      <c r="W131" s="94">
        <f t="shared" si="41"/>
        <v>8</v>
      </c>
      <c r="Y131" s="92">
        <v>5</v>
      </c>
      <c r="Z131" s="28">
        <v>60</v>
      </c>
    </row>
    <row r="132" spans="1:26" ht="12.75">
      <c r="A132">
        <v>2019</v>
      </c>
      <c r="B132" s="95" t="s">
        <v>45</v>
      </c>
      <c r="C132" s="24">
        <v>43770</v>
      </c>
      <c r="D132" s="26">
        <v>0</v>
      </c>
      <c r="E132" s="83">
        <f t="shared" si="46"/>
        <v>0.04807000727505552</v>
      </c>
      <c r="G132">
        <v>5</v>
      </c>
      <c r="H132" s="28">
        <v>5</v>
      </c>
      <c r="I132" s="49">
        <v>94</v>
      </c>
      <c r="J132" s="49">
        <v>236</v>
      </c>
      <c r="K132" s="49">
        <v>500</v>
      </c>
      <c r="M132" s="49">
        <v>5</v>
      </c>
      <c r="N132" s="28">
        <v>240</v>
      </c>
      <c r="O132" s="26">
        <v>0.0206</v>
      </c>
      <c r="P132" s="35">
        <f t="shared" si="47"/>
        <v>0.05582686600844669</v>
      </c>
      <c r="R132" s="92">
        <v>5</v>
      </c>
      <c r="S132" s="28">
        <v>5</v>
      </c>
      <c r="T132" s="93">
        <v>13</v>
      </c>
      <c r="U132" s="93">
        <v>23</v>
      </c>
      <c r="V132" s="93">
        <v>202</v>
      </c>
      <c r="W132" s="94">
        <f t="shared" si="41"/>
        <v>8</v>
      </c>
      <c r="Y132" s="92">
        <v>5</v>
      </c>
      <c r="Z132" s="28">
        <v>60</v>
      </c>
    </row>
    <row r="133" spans="1:26" ht="12.75">
      <c r="A133">
        <v>2019</v>
      </c>
      <c r="B133" s="95" t="s">
        <v>46</v>
      </c>
      <c r="C133" s="24">
        <v>43800</v>
      </c>
      <c r="D133" s="26">
        <v>0.0007698229407236335</v>
      </c>
      <c r="E133" s="83">
        <f t="shared" si="46"/>
        <v>0.04523362937715488</v>
      </c>
      <c r="G133">
        <v>5</v>
      </c>
      <c r="H133" s="28">
        <v>5</v>
      </c>
      <c r="I133" s="49">
        <v>91</v>
      </c>
      <c r="J133" s="49">
        <v>238</v>
      </c>
      <c r="K133" s="49">
        <v>442</v>
      </c>
      <c r="M133" s="98">
        <v>5</v>
      </c>
      <c r="N133" s="28">
        <v>240</v>
      </c>
      <c r="O133">
        <v>0.0256607646907878</v>
      </c>
      <c r="P133" s="35">
        <f t="shared" si="47"/>
        <v>0.04821585907892237</v>
      </c>
      <c r="R133" s="98">
        <v>5</v>
      </c>
      <c r="S133" s="28">
        <v>5</v>
      </c>
      <c r="T133" s="93">
        <v>9</v>
      </c>
      <c r="U133" s="93">
        <v>25</v>
      </c>
      <c r="V133" s="93">
        <v>73</v>
      </c>
      <c r="W133" s="94">
        <f t="shared" si="41"/>
        <v>8</v>
      </c>
      <c r="Y133" s="98">
        <v>5</v>
      </c>
      <c r="Z133" s="28">
        <v>60</v>
      </c>
    </row>
    <row r="134" spans="1:26" ht="12.75">
      <c r="A134">
        <v>2020</v>
      </c>
      <c r="B134" s="95" t="s">
        <v>35</v>
      </c>
      <c r="C134" s="24">
        <v>43831</v>
      </c>
      <c r="D134" s="26">
        <v>0.0278164116828929</v>
      </c>
      <c r="E134" s="83">
        <f t="shared" si="46"/>
        <v>0.043243703102306234</v>
      </c>
      <c r="G134">
        <v>5</v>
      </c>
      <c r="H134" s="28">
        <v>5</v>
      </c>
      <c r="I134" s="49">
        <v>88</v>
      </c>
      <c r="J134" s="49">
        <v>222</v>
      </c>
      <c r="K134" s="49">
        <v>418</v>
      </c>
      <c r="M134" s="98">
        <v>5</v>
      </c>
      <c r="N134" s="28">
        <v>240</v>
      </c>
      <c r="O134">
        <v>0.0556328233657858</v>
      </c>
      <c r="P134" s="35">
        <f t="shared" si="47"/>
        <v>0.04729579479187729</v>
      </c>
      <c r="R134" s="98">
        <v>5</v>
      </c>
      <c r="S134" s="28">
        <v>5</v>
      </c>
      <c r="T134" s="93">
        <v>8</v>
      </c>
      <c r="U134" s="93">
        <v>21</v>
      </c>
      <c r="V134" s="93">
        <v>57</v>
      </c>
      <c r="W134" s="94">
        <f t="shared" si="41"/>
        <v>8</v>
      </c>
      <c r="Y134" s="98">
        <v>5</v>
      </c>
      <c r="Z134" s="28">
        <v>60</v>
      </c>
    </row>
    <row r="135" spans="1:26" ht="12.75">
      <c r="A135">
        <v>2020</v>
      </c>
      <c r="B135" s="95" t="s">
        <v>36</v>
      </c>
      <c r="C135" s="24">
        <v>43862</v>
      </c>
      <c r="D135" s="26">
        <v>0.06</v>
      </c>
      <c r="E135" s="83">
        <f t="shared" si="46"/>
        <v>0.04366925503996974</v>
      </c>
      <c r="G135">
        <v>5</v>
      </c>
      <c r="H135" s="28">
        <v>5</v>
      </c>
      <c r="I135" s="49">
        <v>85</v>
      </c>
      <c r="J135" s="49">
        <v>212</v>
      </c>
      <c r="K135" s="49">
        <v>476</v>
      </c>
      <c r="M135" s="98">
        <v>5</v>
      </c>
      <c r="N135" s="28">
        <v>240</v>
      </c>
      <c r="O135">
        <v>0.28</v>
      </c>
      <c r="P135" s="35">
        <f t="shared" si="47"/>
        <v>0.05335967463603605</v>
      </c>
      <c r="R135" s="98">
        <v>5</v>
      </c>
      <c r="S135" s="28">
        <v>5</v>
      </c>
      <c r="T135" s="93">
        <v>8</v>
      </c>
      <c r="U135" s="93">
        <v>20</v>
      </c>
      <c r="V135" s="93">
        <v>107</v>
      </c>
      <c r="W135" s="94">
        <f t="shared" si="41"/>
        <v>8</v>
      </c>
      <c r="Y135" s="98">
        <v>5</v>
      </c>
      <c r="Z135" s="28">
        <v>60</v>
      </c>
    </row>
    <row r="136" spans="1:26" ht="12.75">
      <c r="A136">
        <v>2020</v>
      </c>
      <c r="B136" s="95" t="s">
        <v>37</v>
      </c>
      <c r="C136" s="24">
        <v>43891</v>
      </c>
      <c r="D136" s="26">
        <v>0</v>
      </c>
      <c r="E136" s="83">
        <f t="shared" si="46"/>
        <v>0.03870263075516363</v>
      </c>
      <c r="G136">
        <v>5</v>
      </c>
      <c r="H136" s="28">
        <v>5</v>
      </c>
      <c r="I136" s="49">
        <v>69</v>
      </c>
      <c r="J136" s="49">
        <v>194</v>
      </c>
      <c r="K136" s="49">
        <v>397</v>
      </c>
      <c r="M136" s="98">
        <v>5</v>
      </c>
      <c r="N136" s="28">
        <v>240</v>
      </c>
      <c r="O136">
        <v>0.158919348430671</v>
      </c>
      <c r="P136" s="35">
        <f t="shared" si="47"/>
        <v>0.058478632411023725</v>
      </c>
      <c r="R136" s="98">
        <v>5</v>
      </c>
      <c r="S136" s="28">
        <v>5</v>
      </c>
      <c r="T136" s="93">
        <v>8</v>
      </c>
      <c r="U136" s="93">
        <v>22</v>
      </c>
      <c r="V136" s="93">
        <v>45</v>
      </c>
      <c r="W136" s="94">
        <f t="shared" si="41"/>
        <v>8</v>
      </c>
      <c r="Y136" s="98">
        <v>5</v>
      </c>
      <c r="Z136" s="28">
        <v>60</v>
      </c>
    </row>
  </sheetData>
  <sheetProtection/>
  <mergeCells count="4">
    <mergeCell ref="D1:H1"/>
    <mergeCell ref="I1:N1"/>
    <mergeCell ref="O1:S1"/>
    <mergeCell ref="T1:Z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U46"/>
  <sheetViews>
    <sheetView zoomScale="115" zoomScaleNormal="115" zoomScalePageLayoutView="0" workbookViewId="0" topLeftCell="A22">
      <selection activeCell="B40" sqref="B40:O45"/>
    </sheetView>
  </sheetViews>
  <sheetFormatPr defaultColWidth="0" defaultRowHeight="12.75" zeroHeight="1"/>
  <cols>
    <col min="1" max="1" width="1.8515625" style="1" customWidth="1"/>
    <col min="2" max="11" width="9.140625" style="1" customWidth="1"/>
    <col min="12" max="12" width="1.421875" style="1" customWidth="1"/>
    <col min="13" max="15" width="9.140625" style="1" customWidth="1"/>
    <col min="16" max="16" width="1.1484375" style="1" customWidth="1"/>
    <col min="17" max="17" width="1.28515625" style="1" customWidth="1"/>
    <col min="18" max="16384" width="0" style="1" hidden="1" customWidth="1"/>
  </cols>
  <sheetData>
    <row r="1" spans="2:17" ht="5.25" customHeight="1">
      <c r="B1" s="43"/>
      <c r="C1" s="43"/>
      <c r="D1" s="43"/>
      <c r="E1" s="43"/>
      <c r="F1" s="43"/>
      <c r="G1" s="43"/>
      <c r="H1" s="43"/>
      <c r="I1" s="43"/>
      <c r="J1" s="43"/>
      <c r="K1" s="43"/>
      <c r="L1" s="43"/>
      <c r="M1" s="43"/>
      <c r="N1" s="43"/>
      <c r="O1" s="43"/>
      <c r="P1" s="43"/>
      <c r="Q1" s="43"/>
    </row>
    <row r="2" spans="2:15" ht="12.75">
      <c r="B2" s="173" t="s">
        <v>69</v>
      </c>
      <c r="C2" s="173"/>
      <c r="D2" s="173"/>
      <c r="E2" s="173"/>
      <c r="F2" s="173"/>
      <c r="G2" s="173"/>
      <c r="H2" s="173"/>
      <c r="I2" s="173"/>
      <c r="J2" s="173"/>
      <c r="K2" s="173"/>
      <c r="L2" s="43"/>
      <c r="M2" s="175" t="s">
        <v>65</v>
      </c>
      <c r="N2" s="176"/>
      <c r="O2" s="177"/>
    </row>
    <row r="3" spans="2:16" ht="12.75">
      <c r="B3" s="174" t="s">
        <v>70</v>
      </c>
      <c r="C3" s="174"/>
      <c r="D3" s="174"/>
      <c r="E3" s="174"/>
      <c r="F3" s="174"/>
      <c r="G3" s="174"/>
      <c r="H3" s="174"/>
      <c r="I3" s="174"/>
      <c r="J3" s="174"/>
      <c r="K3" s="174"/>
      <c r="L3" s="43"/>
      <c r="M3" s="43"/>
      <c r="P3" s="39"/>
    </row>
    <row r="4" ht="4.5" customHeight="1">
      <c r="P4" s="39"/>
    </row>
    <row r="5" spans="13:17" ht="12.75">
      <c r="M5" s="150" t="s">
        <v>61</v>
      </c>
      <c r="N5" s="150"/>
      <c r="O5" s="58" t="str">
        <f>IF(Q5&gt;=P5,"RED","GREEN")</f>
        <v>GREEN</v>
      </c>
      <c r="P5" s="57">
        <f ca="1">INDIRECT(CONCATENATE("'Main Datasheet'!$g$"&amp;SUM(COUNTA('Main Datasheet'!C:C)+2)))</f>
        <v>5</v>
      </c>
      <c r="Q5" s="57">
        <f ca="1">INDIRECT(CONCATENATE("'Main Datasheet'!$f$"&amp;SUM(COUNTA('Main Datasheet'!C:C)+2)))</f>
        <v>0</v>
      </c>
    </row>
    <row r="6" spans="13:16" ht="12.75">
      <c r="M6" s="150" t="s">
        <v>68</v>
      </c>
      <c r="N6" s="150"/>
      <c r="O6" s="38" t="str">
        <f>IF(O7&gt;P6,"Worse",IF(O7=P6,"Same","Better"))</f>
        <v>Better</v>
      </c>
      <c r="P6" s="39">
        <f ca="1">INDIRECT(CONCATENATE("'Main Datasheet'!$D$"&amp;SUM(COUNTA('Main Datasheet'!C:C)+1)))</f>
        <v>0.06</v>
      </c>
    </row>
    <row r="7" spans="13:16" ht="12.75" customHeight="1">
      <c r="M7" s="150" t="s">
        <v>23</v>
      </c>
      <c r="N7" s="150"/>
      <c r="O7" s="97">
        <f ca="1">INDIRECT(CONCATENATE("'Main Datasheet'!$D$"&amp;SUM(COUNTA('Main Datasheet'!C:C)+2)))</f>
        <v>0</v>
      </c>
      <c r="P7" s="39"/>
    </row>
    <row r="8" ht="12.75">
      <c r="P8" s="39"/>
    </row>
    <row r="9" spans="13:15" ht="12.75">
      <c r="M9" s="152" t="s">
        <v>63</v>
      </c>
      <c r="N9" s="153"/>
      <c r="O9" s="154"/>
    </row>
    <row r="10" spans="13:15" ht="12.75">
      <c r="M10" s="155"/>
      <c r="N10" s="156"/>
      <c r="O10" s="157"/>
    </row>
    <row r="11" spans="13:15" ht="12.75">
      <c r="M11" s="158"/>
      <c r="N11" s="159"/>
      <c r="O11" s="160"/>
    </row>
    <row r="12" spans="13:15" ht="12.75">
      <c r="M12" s="158"/>
      <c r="N12" s="159"/>
      <c r="O12" s="160"/>
    </row>
    <row r="13" spans="13:15" ht="12.75">
      <c r="M13" s="158"/>
      <c r="N13" s="159"/>
      <c r="O13" s="160"/>
    </row>
    <row r="14" spans="13:15" ht="12.75">
      <c r="M14" s="158"/>
      <c r="N14" s="159"/>
      <c r="O14" s="160"/>
    </row>
    <row r="15" spans="13:15" ht="12.75">
      <c r="M15" s="158"/>
      <c r="N15" s="159"/>
      <c r="O15" s="160"/>
    </row>
    <row r="16" spans="13:15" ht="12.75">
      <c r="M16" s="158"/>
      <c r="N16" s="159"/>
      <c r="O16" s="160"/>
    </row>
    <row r="17" spans="13:15" ht="12.75">
      <c r="M17" s="158"/>
      <c r="N17" s="159"/>
      <c r="O17" s="160"/>
    </row>
    <row r="18" spans="13:15" ht="12.75">
      <c r="M18" s="158"/>
      <c r="N18" s="159"/>
      <c r="O18" s="160"/>
    </row>
    <row r="19" spans="13:15" ht="12.75">
      <c r="M19" s="158"/>
      <c r="N19" s="159"/>
      <c r="O19" s="160"/>
    </row>
    <row r="20" spans="13:15" ht="12.75">
      <c r="M20" s="158"/>
      <c r="N20" s="159"/>
      <c r="O20" s="160"/>
    </row>
    <row r="21" spans="13:15" ht="12.75">
      <c r="M21" s="158"/>
      <c r="N21" s="159"/>
      <c r="O21" s="160"/>
    </row>
    <row r="22" spans="13:15" ht="12.75">
      <c r="M22" s="158"/>
      <c r="N22" s="159"/>
      <c r="O22" s="160"/>
    </row>
    <row r="23" spans="13:15" ht="12.75">
      <c r="M23" s="158"/>
      <c r="N23" s="159"/>
      <c r="O23" s="160"/>
    </row>
    <row r="24" spans="13:15" ht="12.75">
      <c r="M24" s="158"/>
      <c r="N24" s="159"/>
      <c r="O24" s="160"/>
    </row>
    <row r="25" spans="13:15" ht="12.75">
      <c r="M25" s="158"/>
      <c r="N25" s="159"/>
      <c r="O25" s="160"/>
    </row>
    <row r="26" spans="13:15" ht="12.75">
      <c r="M26" s="158"/>
      <c r="N26" s="159"/>
      <c r="O26" s="160"/>
    </row>
    <row r="27" spans="13:15" ht="5.25" customHeight="1">
      <c r="M27" s="158"/>
      <c r="N27" s="159"/>
      <c r="O27" s="160"/>
    </row>
    <row r="28" spans="2:15" ht="12.75">
      <c r="B28" s="151" t="s">
        <v>60</v>
      </c>
      <c r="C28" s="151"/>
      <c r="D28" s="151"/>
      <c r="E28" s="151"/>
      <c r="F28" s="151"/>
      <c r="G28" s="151"/>
      <c r="H28" s="151"/>
      <c r="I28" s="151"/>
      <c r="J28" s="151"/>
      <c r="K28" s="151"/>
      <c r="M28" s="158"/>
      <c r="N28" s="159"/>
      <c r="O28" s="160"/>
    </row>
    <row r="29" spans="2:15" ht="12.75">
      <c r="B29" s="178" t="s">
        <v>97</v>
      </c>
      <c r="C29" s="156"/>
      <c r="D29" s="156"/>
      <c r="E29" s="156"/>
      <c r="F29" s="156"/>
      <c r="G29" s="156"/>
      <c r="H29" s="156"/>
      <c r="I29" s="156"/>
      <c r="J29" s="156"/>
      <c r="K29" s="157"/>
      <c r="M29" s="158"/>
      <c r="N29" s="159"/>
      <c r="O29" s="160"/>
    </row>
    <row r="30" spans="2:15" ht="12.75">
      <c r="B30" s="158"/>
      <c r="C30" s="159"/>
      <c r="D30" s="159"/>
      <c r="E30" s="159"/>
      <c r="F30" s="159"/>
      <c r="G30" s="159"/>
      <c r="H30" s="159"/>
      <c r="I30" s="159"/>
      <c r="J30" s="159"/>
      <c r="K30" s="160"/>
      <c r="M30" s="158"/>
      <c r="N30" s="159"/>
      <c r="O30" s="160"/>
    </row>
    <row r="31" spans="2:15" ht="12.75">
      <c r="B31" s="158"/>
      <c r="C31" s="159"/>
      <c r="D31" s="159"/>
      <c r="E31" s="159"/>
      <c r="F31" s="159"/>
      <c r="G31" s="159"/>
      <c r="H31" s="159"/>
      <c r="I31" s="159"/>
      <c r="J31" s="159"/>
      <c r="K31" s="160"/>
      <c r="M31" s="158"/>
      <c r="N31" s="159"/>
      <c r="O31" s="160"/>
    </row>
    <row r="32" spans="2:15" ht="12.75">
      <c r="B32" s="158"/>
      <c r="C32" s="159"/>
      <c r="D32" s="159"/>
      <c r="E32" s="159"/>
      <c r="F32" s="159"/>
      <c r="G32" s="159"/>
      <c r="H32" s="159"/>
      <c r="I32" s="159"/>
      <c r="J32" s="159"/>
      <c r="K32" s="160"/>
      <c r="M32" s="158"/>
      <c r="N32" s="159"/>
      <c r="O32" s="160"/>
    </row>
    <row r="33" spans="2:15" ht="3" customHeight="1">
      <c r="B33" s="158"/>
      <c r="C33" s="159"/>
      <c r="D33" s="159"/>
      <c r="E33" s="159"/>
      <c r="F33" s="159"/>
      <c r="G33" s="159"/>
      <c r="H33" s="159"/>
      <c r="I33" s="159"/>
      <c r="J33" s="159"/>
      <c r="K33" s="160"/>
      <c r="M33" s="158"/>
      <c r="N33" s="159"/>
      <c r="O33" s="160"/>
    </row>
    <row r="34" spans="2:15" ht="12.75" customHeight="1" hidden="1">
      <c r="B34" s="158"/>
      <c r="C34" s="159"/>
      <c r="D34" s="159"/>
      <c r="E34" s="159"/>
      <c r="F34" s="159"/>
      <c r="G34" s="159"/>
      <c r="H34" s="159"/>
      <c r="I34" s="159"/>
      <c r="J34" s="159"/>
      <c r="K34" s="160"/>
      <c r="M34" s="158"/>
      <c r="N34" s="159"/>
      <c r="O34" s="160"/>
    </row>
    <row r="35" spans="2:15" ht="12.75" customHeight="1" hidden="1">
      <c r="B35" s="158"/>
      <c r="C35" s="159"/>
      <c r="D35" s="159"/>
      <c r="E35" s="159"/>
      <c r="F35" s="159"/>
      <c r="G35" s="159"/>
      <c r="H35" s="159"/>
      <c r="I35" s="159"/>
      <c r="J35" s="159"/>
      <c r="K35" s="160"/>
      <c r="M35" s="158"/>
      <c r="N35" s="159"/>
      <c r="O35" s="160"/>
    </row>
    <row r="36" spans="2:15" ht="12.75" customHeight="1" hidden="1">
      <c r="B36" s="158"/>
      <c r="C36" s="159"/>
      <c r="D36" s="159"/>
      <c r="E36" s="159"/>
      <c r="F36" s="159"/>
      <c r="G36" s="159"/>
      <c r="H36" s="159"/>
      <c r="I36" s="159"/>
      <c r="J36" s="159"/>
      <c r="K36" s="160"/>
      <c r="M36" s="158"/>
      <c r="N36" s="159"/>
      <c r="O36" s="160"/>
    </row>
    <row r="37" spans="2:15" ht="12.75">
      <c r="B37" s="161"/>
      <c r="C37" s="162"/>
      <c r="D37" s="162"/>
      <c r="E37" s="162"/>
      <c r="F37" s="162"/>
      <c r="G37" s="162"/>
      <c r="H37" s="162"/>
      <c r="I37" s="162"/>
      <c r="J37" s="162"/>
      <c r="K37" s="163"/>
      <c r="M37" s="161"/>
      <c r="N37" s="162"/>
      <c r="O37" s="163"/>
    </row>
    <row r="38" ht="4.5" customHeight="1"/>
    <row r="39" spans="2:21" ht="12.75">
      <c r="B39" s="152" t="s">
        <v>64</v>
      </c>
      <c r="C39" s="153"/>
      <c r="D39" s="153"/>
      <c r="E39" s="153"/>
      <c r="F39" s="153"/>
      <c r="G39" s="153"/>
      <c r="H39" s="153"/>
      <c r="I39" s="153"/>
      <c r="J39" s="153"/>
      <c r="K39" s="153"/>
      <c r="L39" s="153"/>
      <c r="M39" s="153"/>
      <c r="N39" s="153"/>
      <c r="O39" s="154"/>
      <c r="P39" s="72"/>
      <c r="Q39" s="72"/>
      <c r="R39" s="72"/>
      <c r="S39" s="72"/>
      <c r="T39" s="72"/>
      <c r="U39" s="5"/>
    </row>
    <row r="40" spans="2:21" ht="12.75" customHeight="1">
      <c r="B40" s="164" t="s">
        <v>94</v>
      </c>
      <c r="C40" s="165"/>
      <c r="D40" s="165"/>
      <c r="E40" s="165"/>
      <c r="F40" s="165"/>
      <c r="G40" s="165"/>
      <c r="H40" s="165"/>
      <c r="I40" s="165"/>
      <c r="J40" s="165"/>
      <c r="K40" s="165"/>
      <c r="L40" s="165"/>
      <c r="M40" s="165"/>
      <c r="N40" s="165"/>
      <c r="O40" s="166"/>
      <c r="P40" s="56"/>
      <c r="Q40" s="56"/>
      <c r="R40" s="56"/>
      <c r="S40" s="56"/>
      <c r="T40" s="56"/>
      <c r="U40" s="5"/>
    </row>
    <row r="41" spans="2:21" ht="12.75">
      <c r="B41" s="167"/>
      <c r="C41" s="168"/>
      <c r="D41" s="168"/>
      <c r="E41" s="168"/>
      <c r="F41" s="168"/>
      <c r="G41" s="168"/>
      <c r="H41" s="168"/>
      <c r="I41" s="168"/>
      <c r="J41" s="168"/>
      <c r="K41" s="168"/>
      <c r="L41" s="168"/>
      <c r="M41" s="168"/>
      <c r="N41" s="168"/>
      <c r="O41" s="169"/>
      <c r="P41" s="56"/>
      <c r="Q41" s="56"/>
      <c r="R41" s="56"/>
      <c r="S41" s="56"/>
      <c r="T41" s="56"/>
      <c r="U41" s="5"/>
    </row>
    <row r="42" spans="2:21" ht="12.75">
      <c r="B42" s="167"/>
      <c r="C42" s="168"/>
      <c r="D42" s="168"/>
      <c r="E42" s="168"/>
      <c r="F42" s="168"/>
      <c r="G42" s="168"/>
      <c r="H42" s="168"/>
      <c r="I42" s="168"/>
      <c r="J42" s="168"/>
      <c r="K42" s="168"/>
      <c r="L42" s="168"/>
      <c r="M42" s="168"/>
      <c r="N42" s="168"/>
      <c r="O42" s="169"/>
      <c r="P42" s="56"/>
      <c r="Q42" s="56"/>
      <c r="R42" s="56"/>
      <c r="S42" s="56"/>
      <c r="T42" s="56"/>
      <c r="U42" s="5"/>
    </row>
    <row r="43" spans="2:21" ht="12.75" hidden="1">
      <c r="B43" s="167"/>
      <c r="C43" s="168"/>
      <c r="D43" s="168"/>
      <c r="E43" s="168"/>
      <c r="F43" s="168"/>
      <c r="G43" s="168"/>
      <c r="H43" s="168"/>
      <c r="I43" s="168"/>
      <c r="J43" s="168"/>
      <c r="K43" s="168"/>
      <c r="L43" s="168"/>
      <c r="M43" s="168"/>
      <c r="N43" s="168"/>
      <c r="O43" s="169"/>
      <c r="P43" s="56"/>
      <c r="Q43" s="56"/>
      <c r="R43" s="56"/>
      <c r="S43" s="56"/>
      <c r="T43" s="56"/>
      <c r="U43" s="5"/>
    </row>
    <row r="44" spans="2:21" ht="12.75" hidden="1">
      <c r="B44" s="167"/>
      <c r="C44" s="168"/>
      <c r="D44" s="168"/>
      <c r="E44" s="168"/>
      <c r="F44" s="168"/>
      <c r="G44" s="168"/>
      <c r="H44" s="168"/>
      <c r="I44" s="168"/>
      <c r="J44" s="168"/>
      <c r="K44" s="168"/>
      <c r="L44" s="168"/>
      <c r="M44" s="168"/>
      <c r="N44" s="168"/>
      <c r="O44" s="169"/>
      <c r="P44" s="56"/>
      <c r="Q44" s="56"/>
      <c r="R44" s="56"/>
      <c r="S44" s="56"/>
      <c r="T44" s="56"/>
      <c r="U44" s="5"/>
    </row>
    <row r="45" spans="2:21" ht="12.75">
      <c r="B45" s="170"/>
      <c r="C45" s="171"/>
      <c r="D45" s="171"/>
      <c r="E45" s="171"/>
      <c r="F45" s="171"/>
      <c r="G45" s="171"/>
      <c r="H45" s="171"/>
      <c r="I45" s="171"/>
      <c r="J45" s="171"/>
      <c r="K45" s="171"/>
      <c r="L45" s="171"/>
      <c r="M45" s="171"/>
      <c r="N45" s="171"/>
      <c r="O45" s="172"/>
      <c r="P45" s="56"/>
      <c r="Q45" s="56"/>
      <c r="R45" s="56"/>
      <c r="S45" s="56"/>
      <c r="T45" s="56"/>
      <c r="U45" s="5"/>
    </row>
    <row r="46" spans="2:21" ht="12.75">
      <c r="B46" s="56"/>
      <c r="C46" s="56"/>
      <c r="D46" s="56"/>
      <c r="E46" s="56"/>
      <c r="F46" s="56"/>
      <c r="G46" s="56"/>
      <c r="H46" s="56"/>
      <c r="I46" s="56"/>
      <c r="J46" s="56"/>
      <c r="K46" s="56"/>
      <c r="L46" s="56"/>
      <c r="M46" s="56"/>
      <c r="N46" s="56"/>
      <c r="O46" s="56"/>
      <c r="P46" s="56"/>
      <c r="Q46" s="56"/>
      <c r="R46" s="56"/>
      <c r="S46" s="56"/>
      <c r="T46" s="56"/>
      <c r="U46" s="5"/>
    </row>
  </sheetData>
  <sheetProtection/>
  <mergeCells count="12">
    <mergeCell ref="B2:K2"/>
    <mergeCell ref="B3:K3"/>
    <mergeCell ref="M2:O2"/>
    <mergeCell ref="B29:K37"/>
    <mergeCell ref="M5:N5"/>
    <mergeCell ref="M6:N6"/>
    <mergeCell ref="M7:N7"/>
    <mergeCell ref="B28:K28"/>
    <mergeCell ref="M9:O9"/>
    <mergeCell ref="M10:O37"/>
    <mergeCell ref="B39:O39"/>
    <mergeCell ref="B40:O45"/>
  </mergeCells>
  <conditionalFormatting sqref="O6">
    <cfRule type="cellIs" priority="1" dxfId="5" operator="equal" stopIfTrue="1">
      <formula>"Worse"</formula>
    </cfRule>
    <cfRule type="cellIs" priority="2" dxfId="4" operator="equal" stopIfTrue="1">
      <formula>"Better"</formula>
    </cfRule>
  </conditionalFormatting>
  <conditionalFormatting sqref="P5">
    <cfRule type="cellIs" priority="3" dxfId="3" operator="greaterThanOrEqual" stopIfTrue="1">
      <formula>$W$4</formula>
    </cfRule>
    <cfRule type="cellIs" priority="4" dxfId="2" operator="lessThan" stopIfTrue="1">
      <formula>$W$4</formula>
    </cfRule>
  </conditionalFormatting>
  <conditionalFormatting sqref="O5">
    <cfRule type="cellIs" priority="5" dxfId="1" operator="equal" stopIfTrue="1">
      <formula>"RED"</formula>
    </cfRule>
    <cfRule type="cellIs" priority="6" dxfId="0" operator="equal" stopIfTrue="1">
      <formula>"GREEN"</formula>
    </cfRule>
  </conditionalFormatting>
  <hyperlinks>
    <hyperlink ref="M2:O2" location="'Summary Sheet'!A1" display="Back"/>
  </hyperlinks>
  <printOptions/>
  <pageMargins left="0.75" right="0.75" top="1" bottom="1" header="0.5" footer="0.5"/>
  <pageSetup fitToHeight="1" fitToWidth="1"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X46"/>
  <sheetViews>
    <sheetView zoomScalePageLayoutView="0" workbookViewId="0" topLeftCell="A13">
      <selection activeCell="B26" sqref="B26:R37"/>
    </sheetView>
  </sheetViews>
  <sheetFormatPr defaultColWidth="0" defaultRowHeight="12.75" zeroHeight="1"/>
  <cols>
    <col min="1" max="1" width="1.57421875" style="1" customWidth="1"/>
    <col min="2" max="7" width="9.140625" style="1" customWidth="1"/>
    <col min="8" max="8" width="8.140625" style="1" customWidth="1"/>
    <col min="9" max="9" width="9.140625" style="1" customWidth="1"/>
    <col min="10" max="10" width="1.8515625" style="1" customWidth="1"/>
    <col min="11" max="16" width="9.140625" style="1" customWidth="1"/>
    <col min="17" max="17" width="8.00390625" style="1" customWidth="1"/>
    <col min="18" max="18" width="9.140625" style="1" customWidth="1"/>
    <col min="19" max="19" width="0.9921875" style="1" customWidth="1"/>
    <col min="20" max="22" width="9.140625" style="1" customWidth="1"/>
    <col min="23" max="24" width="1.8515625" style="1" customWidth="1"/>
    <col min="25" max="16384" width="0" style="1" hidden="1" customWidth="1"/>
  </cols>
  <sheetData>
    <row r="1" ht="6" customHeight="1"/>
    <row r="2" spans="2:22" ht="12.75">
      <c r="B2" s="179" t="s">
        <v>73</v>
      </c>
      <c r="C2" s="180"/>
      <c r="D2" s="180"/>
      <c r="E2" s="180"/>
      <c r="F2" s="180"/>
      <c r="G2" s="180"/>
      <c r="H2" s="180"/>
      <c r="I2" s="180"/>
      <c r="J2" s="180"/>
      <c r="K2" s="180"/>
      <c r="L2" s="180"/>
      <c r="M2" s="180"/>
      <c r="N2" s="180"/>
      <c r="O2" s="180"/>
      <c r="P2" s="180"/>
      <c r="Q2" s="180"/>
      <c r="R2" s="181"/>
      <c r="T2" s="182" t="s">
        <v>65</v>
      </c>
      <c r="U2" s="182"/>
      <c r="V2" s="182"/>
    </row>
    <row r="3" spans="2:18" ht="12.75">
      <c r="B3" s="174" t="s">
        <v>74</v>
      </c>
      <c r="C3" s="174"/>
      <c r="D3" s="174"/>
      <c r="E3" s="174"/>
      <c r="F3" s="174"/>
      <c r="G3" s="174"/>
      <c r="H3" s="174"/>
      <c r="I3" s="174"/>
      <c r="K3" s="174" t="s">
        <v>75</v>
      </c>
      <c r="L3" s="174"/>
      <c r="M3" s="174"/>
      <c r="N3" s="174"/>
      <c r="O3" s="174"/>
      <c r="P3" s="174"/>
      <c r="Q3" s="174"/>
      <c r="R3" s="174"/>
    </row>
    <row r="4" ht="6" customHeight="1"/>
    <row r="5" spans="20:24" ht="12.75">
      <c r="T5" s="150" t="s">
        <v>61</v>
      </c>
      <c r="U5" s="150"/>
      <c r="V5" s="58" t="str">
        <f>IF(X5&gt;=W5,"RED","GREEN")</f>
        <v>GREEN</v>
      </c>
      <c r="W5" s="57">
        <f ca="1">INDIRECT(CONCATENATE("'Main Datasheet'!$m$"&amp;SUM(COUNTA('Main Datasheet'!C:C)+2)))</f>
        <v>5</v>
      </c>
      <c r="X5" s="57">
        <f ca="1">INDIRECT(CONCATENATE("'Main Datasheet'!$l$"&amp;SUM(COUNTA('Main Datasheet'!C:C)+2)))</f>
        <v>0</v>
      </c>
    </row>
    <row r="6" spans="20:23" ht="12.75">
      <c r="T6" s="150" t="s">
        <v>68</v>
      </c>
      <c r="U6" s="150"/>
      <c r="V6" s="38" t="str">
        <f>IF(V7&gt;W6,"Worse",IF(V7=W6,"Same","Better"))</f>
        <v>Better</v>
      </c>
      <c r="W6" s="39">
        <f ca="1">INDIRECT(CONCATENATE("'Main Datasheet'!$J$"&amp;SUM(COUNTA('Main Datasheet'!C:C)+1)))</f>
        <v>212</v>
      </c>
    </row>
    <row r="7" spans="20:22" ht="12.75">
      <c r="T7" s="183" t="s">
        <v>51</v>
      </c>
      <c r="U7" s="184"/>
      <c r="V7" s="36">
        <f ca="1">INDIRECT(CONCATENATE("'Main Datasheet'!$J$"&amp;SUM(COUNTA('Main Datasheet'!C:C)+2)))</f>
        <v>194</v>
      </c>
    </row>
    <row r="8" ht="12.75"/>
    <row r="9" spans="20:22" ht="12.75">
      <c r="T9" s="152" t="s">
        <v>63</v>
      </c>
      <c r="U9" s="153"/>
      <c r="V9" s="154"/>
    </row>
    <row r="10" spans="20:22" ht="12.75">
      <c r="T10" s="84"/>
      <c r="U10" s="85"/>
      <c r="V10" s="86"/>
    </row>
    <row r="11" spans="20:22" ht="12.75">
      <c r="T11" s="87"/>
      <c r="U11" s="88"/>
      <c r="V11" s="89"/>
    </row>
    <row r="12" spans="20:22" ht="12.75">
      <c r="T12" s="87"/>
      <c r="U12" s="88"/>
      <c r="V12" s="89"/>
    </row>
    <row r="13" spans="20:22" ht="12.75">
      <c r="T13" s="87"/>
      <c r="U13" s="88"/>
      <c r="V13" s="89"/>
    </row>
    <row r="14" spans="20:22" ht="12.75">
      <c r="T14" s="87"/>
      <c r="U14" s="88"/>
      <c r="V14" s="89"/>
    </row>
    <row r="15" spans="20:22" ht="12.75">
      <c r="T15" s="87"/>
      <c r="U15" s="88"/>
      <c r="V15" s="89"/>
    </row>
    <row r="16" spans="20:22" ht="12.75">
      <c r="T16" s="87"/>
      <c r="U16" s="88"/>
      <c r="V16" s="89"/>
    </row>
    <row r="17" spans="20:22" ht="12.75">
      <c r="T17" s="87"/>
      <c r="U17" s="88"/>
      <c r="V17" s="89"/>
    </row>
    <row r="18" spans="20:22" ht="12.75">
      <c r="T18" s="87"/>
      <c r="U18" s="88"/>
      <c r="V18" s="89"/>
    </row>
    <row r="19" spans="20:22" ht="12.75">
      <c r="T19" s="87"/>
      <c r="U19" s="88"/>
      <c r="V19" s="89"/>
    </row>
    <row r="20" spans="20:22" ht="12.75">
      <c r="T20" s="87"/>
      <c r="U20" s="88"/>
      <c r="V20" s="89"/>
    </row>
    <row r="21" spans="20:22" ht="12.75">
      <c r="T21" s="87"/>
      <c r="U21" s="88"/>
      <c r="V21" s="89"/>
    </row>
    <row r="22" spans="20:22" ht="12.75">
      <c r="T22" s="87"/>
      <c r="U22" s="88"/>
      <c r="V22" s="89"/>
    </row>
    <row r="23" spans="20:22" ht="12.75">
      <c r="T23" s="87"/>
      <c r="U23" s="88"/>
      <c r="V23" s="89"/>
    </row>
    <row r="24" spans="20:22" ht="5.25" customHeight="1">
      <c r="T24" s="87"/>
      <c r="U24" s="88"/>
      <c r="V24" s="89"/>
    </row>
    <row r="25" spans="2:22" ht="12.75">
      <c r="B25" s="152" t="s">
        <v>60</v>
      </c>
      <c r="C25" s="153"/>
      <c r="D25" s="153"/>
      <c r="E25" s="153"/>
      <c r="F25" s="153"/>
      <c r="G25" s="153"/>
      <c r="H25" s="153"/>
      <c r="I25" s="154"/>
      <c r="K25" s="151" t="s">
        <v>60</v>
      </c>
      <c r="L25" s="151"/>
      <c r="M25" s="151"/>
      <c r="N25" s="151"/>
      <c r="O25" s="151"/>
      <c r="P25" s="151"/>
      <c r="Q25" s="151"/>
      <c r="R25" s="151"/>
      <c r="T25" s="87"/>
      <c r="U25" s="88"/>
      <c r="V25" s="89"/>
    </row>
    <row r="26" spans="2:18" ht="12.75" customHeight="1">
      <c r="B26" s="185" t="s">
        <v>98</v>
      </c>
      <c r="C26" s="186"/>
      <c r="D26" s="186"/>
      <c r="E26" s="186"/>
      <c r="F26" s="186"/>
      <c r="G26" s="186"/>
      <c r="H26" s="186"/>
      <c r="I26" s="186"/>
      <c r="J26" s="186"/>
      <c r="K26" s="186"/>
      <c r="L26" s="186"/>
      <c r="M26" s="186"/>
      <c r="N26" s="186"/>
      <c r="O26" s="186"/>
      <c r="P26" s="186"/>
      <c r="Q26" s="186"/>
      <c r="R26" s="187"/>
    </row>
    <row r="27" spans="2:18" ht="12.75">
      <c r="B27" s="188"/>
      <c r="C27" s="186"/>
      <c r="D27" s="186"/>
      <c r="E27" s="186"/>
      <c r="F27" s="186"/>
      <c r="G27" s="186"/>
      <c r="H27" s="186"/>
      <c r="I27" s="186"/>
      <c r="J27" s="186"/>
      <c r="K27" s="186"/>
      <c r="L27" s="186"/>
      <c r="M27" s="186"/>
      <c r="N27" s="186"/>
      <c r="O27" s="186"/>
      <c r="P27" s="186"/>
      <c r="Q27" s="186"/>
      <c r="R27" s="187"/>
    </row>
    <row r="28" spans="2:18" ht="12.75">
      <c r="B28" s="188"/>
      <c r="C28" s="186"/>
      <c r="D28" s="186"/>
      <c r="E28" s="186"/>
      <c r="F28" s="186"/>
      <c r="G28" s="186"/>
      <c r="H28" s="186"/>
      <c r="I28" s="186"/>
      <c r="J28" s="186"/>
      <c r="K28" s="186"/>
      <c r="L28" s="186"/>
      <c r="M28" s="186"/>
      <c r="N28" s="186"/>
      <c r="O28" s="186"/>
      <c r="P28" s="186"/>
      <c r="Q28" s="186"/>
      <c r="R28" s="187"/>
    </row>
    <row r="29" spans="2:18" ht="12.75">
      <c r="B29" s="188"/>
      <c r="C29" s="186"/>
      <c r="D29" s="186"/>
      <c r="E29" s="186"/>
      <c r="F29" s="186"/>
      <c r="G29" s="186"/>
      <c r="H29" s="186"/>
      <c r="I29" s="186"/>
      <c r="J29" s="186"/>
      <c r="K29" s="186"/>
      <c r="L29" s="186"/>
      <c r="M29" s="186"/>
      <c r="N29" s="186"/>
      <c r="O29" s="186"/>
      <c r="P29" s="186"/>
      <c r="Q29" s="186"/>
      <c r="R29" s="187"/>
    </row>
    <row r="30" spans="2:18" ht="12.75">
      <c r="B30" s="188"/>
      <c r="C30" s="186"/>
      <c r="D30" s="186"/>
      <c r="E30" s="186"/>
      <c r="F30" s="186"/>
      <c r="G30" s="186"/>
      <c r="H30" s="186"/>
      <c r="I30" s="186"/>
      <c r="J30" s="186"/>
      <c r="K30" s="186"/>
      <c r="L30" s="186"/>
      <c r="M30" s="186"/>
      <c r="N30" s="186"/>
      <c r="O30" s="186"/>
      <c r="P30" s="186"/>
      <c r="Q30" s="186"/>
      <c r="R30" s="187"/>
    </row>
    <row r="31" spans="2:18" ht="12.75" customHeight="1" hidden="1">
      <c r="B31" s="188"/>
      <c r="C31" s="186"/>
      <c r="D31" s="186"/>
      <c r="E31" s="186"/>
      <c r="F31" s="186"/>
      <c r="G31" s="186"/>
      <c r="H31" s="186"/>
      <c r="I31" s="186"/>
      <c r="J31" s="186"/>
      <c r="K31" s="186"/>
      <c r="L31" s="186"/>
      <c r="M31" s="186"/>
      <c r="N31" s="186"/>
      <c r="O31" s="186"/>
      <c r="P31" s="186"/>
      <c r="Q31" s="186"/>
      <c r="R31" s="187"/>
    </row>
    <row r="32" spans="2:18" ht="12.75" customHeight="1" hidden="1">
      <c r="B32" s="188"/>
      <c r="C32" s="186"/>
      <c r="D32" s="186"/>
      <c r="E32" s="186"/>
      <c r="F32" s="186"/>
      <c r="G32" s="186"/>
      <c r="H32" s="186"/>
      <c r="I32" s="186"/>
      <c r="J32" s="186"/>
      <c r="K32" s="186"/>
      <c r="L32" s="186"/>
      <c r="M32" s="186"/>
      <c r="N32" s="186"/>
      <c r="O32" s="186"/>
      <c r="P32" s="186"/>
      <c r="Q32" s="186"/>
      <c r="R32" s="187"/>
    </row>
    <row r="33" spans="2:18" ht="12.75" customHeight="1" hidden="1">
      <c r="B33" s="188"/>
      <c r="C33" s="186"/>
      <c r="D33" s="186"/>
      <c r="E33" s="186"/>
      <c r="F33" s="186"/>
      <c r="G33" s="186"/>
      <c r="H33" s="186"/>
      <c r="I33" s="186"/>
      <c r="J33" s="186"/>
      <c r="K33" s="186"/>
      <c r="L33" s="186"/>
      <c r="M33" s="186"/>
      <c r="N33" s="186"/>
      <c r="O33" s="186"/>
      <c r="P33" s="186"/>
      <c r="Q33" s="186"/>
      <c r="R33" s="187"/>
    </row>
    <row r="34" spans="2:18" ht="12.75" customHeight="1" hidden="1">
      <c r="B34" s="188"/>
      <c r="C34" s="186"/>
      <c r="D34" s="186"/>
      <c r="E34" s="186"/>
      <c r="F34" s="186"/>
      <c r="G34" s="186"/>
      <c r="H34" s="186"/>
      <c r="I34" s="186"/>
      <c r="J34" s="186"/>
      <c r="K34" s="186"/>
      <c r="L34" s="186"/>
      <c r="M34" s="186"/>
      <c r="N34" s="186"/>
      <c r="O34" s="186"/>
      <c r="P34" s="186"/>
      <c r="Q34" s="186"/>
      <c r="R34" s="187"/>
    </row>
    <row r="35" spans="2:18" ht="12.75" customHeight="1" hidden="1">
      <c r="B35" s="188"/>
      <c r="C35" s="186"/>
      <c r="D35" s="186"/>
      <c r="E35" s="186"/>
      <c r="F35" s="186"/>
      <c r="G35" s="186"/>
      <c r="H35" s="186"/>
      <c r="I35" s="186"/>
      <c r="J35" s="186"/>
      <c r="K35" s="186"/>
      <c r="L35" s="186"/>
      <c r="M35" s="186"/>
      <c r="N35" s="186"/>
      <c r="O35" s="186"/>
      <c r="P35" s="186"/>
      <c r="Q35" s="186"/>
      <c r="R35" s="187"/>
    </row>
    <row r="36" spans="2:18" ht="12.75" customHeight="1" hidden="1">
      <c r="B36" s="188"/>
      <c r="C36" s="186"/>
      <c r="D36" s="186"/>
      <c r="E36" s="186"/>
      <c r="F36" s="186"/>
      <c r="G36" s="186"/>
      <c r="H36" s="186"/>
      <c r="I36" s="186"/>
      <c r="J36" s="186"/>
      <c r="K36" s="186"/>
      <c r="L36" s="186"/>
      <c r="M36" s="186"/>
      <c r="N36" s="186"/>
      <c r="O36" s="186"/>
      <c r="P36" s="186"/>
      <c r="Q36" s="186"/>
      <c r="R36" s="187"/>
    </row>
    <row r="37" spans="2:18" ht="12.75">
      <c r="B37" s="188"/>
      <c r="C37" s="186"/>
      <c r="D37" s="186"/>
      <c r="E37" s="186"/>
      <c r="F37" s="186"/>
      <c r="G37" s="186"/>
      <c r="H37" s="186"/>
      <c r="I37" s="186"/>
      <c r="J37" s="186"/>
      <c r="K37" s="186"/>
      <c r="L37" s="186"/>
      <c r="M37" s="186"/>
      <c r="N37" s="186"/>
      <c r="O37" s="186"/>
      <c r="P37" s="186"/>
      <c r="Q37" s="186"/>
      <c r="R37" s="187"/>
    </row>
    <row r="38" ht="3.75" customHeight="1"/>
    <row r="39" spans="2:22" ht="12.75">
      <c r="B39" s="151" t="s">
        <v>64</v>
      </c>
      <c r="C39" s="151"/>
      <c r="D39" s="151"/>
      <c r="E39" s="151"/>
      <c r="F39" s="151"/>
      <c r="G39" s="151"/>
      <c r="H39" s="151"/>
      <c r="I39" s="151"/>
      <c r="J39" s="151"/>
      <c r="K39" s="151"/>
      <c r="L39" s="151"/>
      <c r="M39" s="151"/>
      <c r="N39" s="151"/>
      <c r="O39" s="151"/>
      <c r="P39" s="151"/>
      <c r="Q39" s="151"/>
      <c r="R39" s="151"/>
      <c r="S39" s="151"/>
      <c r="T39" s="151"/>
      <c r="U39" s="151"/>
      <c r="V39" s="151"/>
    </row>
    <row r="40" spans="2:22" ht="12.75">
      <c r="B40" s="164" t="s">
        <v>99</v>
      </c>
      <c r="C40" s="165"/>
      <c r="D40" s="165"/>
      <c r="E40" s="165"/>
      <c r="F40" s="165"/>
      <c r="G40" s="165"/>
      <c r="H40" s="165"/>
      <c r="I40" s="165"/>
      <c r="J40" s="165"/>
      <c r="K40" s="165"/>
      <c r="L40" s="165"/>
      <c r="M40" s="165"/>
      <c r="N40" s="165"/>
      <c r="O40" s="165"/>
      <c r="P40" s="165"/>
      <c r="Q40" s="165"/>
      <c r="R40" s="165"/>
      <c r="S40" s="165"/>
      <c r="T40" s="165"/>
      <c r="U40" s="165"/>
      <c r="V40" s="166"/>
    </row>
    <row r="41" spans="2:22" ht="12.75">
      <c r="B41" s="167"/>
      <c r="C41" s="168"/>
      <c r="D41" s="168"/>
      <c r="E41" s="168"/>
      <c r="F41" s="168"/>
      <c r="G41" s="168"/>
      <c r="H41" s="168"/>
      <c r="I41" s="168"/>
      <c r="J41" s="168"/>
      <c r="K41" s="168"/>
      <c r="L41" s="168"/>
      <c r="M41" s="168"/>
      <c r="N41" s="168"/>
      <c r="O41" s="168"/>
      <c r="P41" s="168"/>
      <c r="Q41" s="168"/>
      <c r="R41" s="168"/>
      <c r="S41" s="168"/>
      <c r="T41" s="168"/>
      <c r="U41" s="168"/>
      <c r="V41" s="169"/>
    </row>
    <row r="42" spans="2:22" ht="12.75" hidden="1">
      <c r="B42" s="167"/>
      <c r="C42" s="168"/>
      <c r="D42" s="168"/>
      <c r="E42" s="168"/>
      <c r="F42" s="168"/>
      <c r="G42" s="168"/>
      <c r="H42" s="168"/>
      <c r="I42" s="168"/>
      <c r="J42" s="168"/>
      <c r="K42" s="168"/>
      <c r="L42" s="168"/>
      <c r="M42" s="168"/>
      <c r="N42" s="168"/>
      <c r="O42" s="168"/>
      <c r="P42" s="168"/>
      <c r="Q42" s="168"/>
      <c r="R42" s="168"/>
      <c r="S42" s="168"/>
      <c r="T42" s="168"/>
      <c r="U42" s="168"/>
      <c r="V42" s="169"/>
    </row>
    <row r="43" spans="2:22" ht="12.75" hidden="1">
      <c r="B43" s="167"/>
      <c r="C43" s="168"/>
      <c r="D43" s="168"/>
      <c r="E43" s="168"/>
      <c r="F43" s="168"/>
      <c r="G43" s="168"/>
      <c r="H43" s="168"/>
      <c r="I43" s="168"/>
      <c r="J43" s="168"/>
      <c r="K43" s="168"/>
      <c r="L43" s="168"/>
      <c r="M43" s="168"/>
      <c r="N43" s="168"/>
      <c r="O43" s="168"/>
      <c r="P43" s="168"/>
      <c r="Q43" s="168"/>
      <c r="R43" s="168"/>
      <c r="S43" s="168"/>
      <c r="T43" s="168"/>
      <c r="U43" s="168"/>
      <c r="V43" s="169"/>
    </row>
    <row r="44" spans="2:22" ht="12.75" hidden="1">
      <c r="B44" s="167"/>
      <c r="C44" s="168"/>
      <c r="D44" s="168"/>
      <c r="E44" s="168"/>
      <c r="F44" s="168"/>
      <c r="G44" s="168"/>
      <c r="H44" s="168"/>
      <c r="I44" s="168"/>
      <c r="J44" s="168"/>
      <c r="K44" s="168"/>
      <c r="L44" s="168"/>
      <c r="M44" s="168"/>
      <c r="N44" s="168"/>
      <c r="O44" s="168"/>
      <c r="P44" s="168"/>
      <c r="Q44" s="168"/>
      <c r="R44" s="168"/>
      <c r="S44" s="168"/>
      <c r="T44" s="168"/>
      <c r="U44" s="168"/>
      <c r="V44" s="169"/>
    </row>
    <row r="45" spans="2:22" ht="12.75">
      <c r="B45" s="167"/>
      <c r="C45" s="168"/>
      <c r="D45" s="168"/>
      <c r="E45" s="168"/>
      <c r="F45" s="168"/>
      <c r="G45" s="168"/>
      <c r="H45" s="168"/>
      <c r="I45" s="168"/>
      <c r="J45" s="168"/>
      <c r="K45" s="168"/>
      <c r="L45" s="168"/>
      <c r="M45" s="168"/>
      <c r="N45" s="168"/>
      <c r="O45" s="168"/>
      <c r="P45" s="168"/>
      <c r="Q45" s="168"/>
      <c r="R45" s="168"/>
      <c r="S45" s="168"/>
      <c r="T45" s="168"/>
      <c r="U45" s="168"/>
      <c r="V45" s="169"/>
    </row>
    <row r="46" spans="2:22" ht="12.75">
      <c r="B46" s="170"/>
      <c r="C46" s="171"/>
      <c r="D46" s="171"/>
      <c r="E46" s="171"/>
      <c r="F46" s="171"/>
      <c r="G46" s="171"/>
      <c r="H46" s="171"/>
      <c r="I46" s="171"/>
      <c r="J46" s="171"/>
      <c r="K46" s="171"/>
      <c r="L46" s="171"/>
      <c r="M46" s="171"/>
      <c r="N46" s="171"/>
      <c r="O46" s="171"/>
      <c r="P46" s="171"/>
      <c r="Q46" s="171"/>
      <c r="R46" s="171"/>
      <c r="S46" s="171"/>
      <c r="T46" s="171"/>
      <c r="U46" s="171"/>
      <c r="V46" s="172"/>
    </row>
    <row r="47" ht="12.75"/>
  </sheetData>
  <sheetProtection/>
  <mergeCells count="13">
    <mergeCell ref="T7:U7"/>
    <mergeCell ref="B25:I25"/>
    <mergeCell ref="K25:R25"/>
    <mergeCell ref="B40:V46"/>
    <mergeCell ref="T9:V9"/>
    <mergeCell ref="B39:V39"/>
    <mergeCell ref="B26:R37"/>
    <mergeCell ref="T5:U5"/>
    <mergeCell ref="T6:U6"/>
    <mergeCell ref="B2:R2"/>
    <mergeCell ref="B3:I3"/>
    <mergeCell ref="K3:R3"/>
    <mergeCell ref="T2:V2"/>
  </mergeCells>
  <conditionalFormatting sqref="V6">
    <cfRule type="cellIs" priority="1" dxfId="5" operator="equal" stopIfTrue="1">
      <formula>"Worse"</formula>
    </cfRule>
    <cfRule type="cellIs" priority="2" dxfId="4" operator="equal" stopIfTrue="1">
      <formula>"Better"</formula>
    </cfRule>
  </conditionalFormatting>
  <conditionalFormatting sqref="W5">
    <cfRule type="cellIs" priority="3" dxfId="3" operator="greaterThanOrEqual" stopIfTrue="1">
      <formula>$W$4</formula>
    </cfRule>
    <cfRule type="cellIs" priority="4" dxfId="2" operator="lessThan" stopIfTrue="1">
      <formula>$W$4</formula>
    </cfRule>
  </conditionalFormatting>
  <conditionalFormatting sqref="V5">
    <cfRule type="cellIs" priority="5" dxfId="1" operator="equal" stopIfTrue="1">
      <formula>"RED"</formula>
    </cfRule>
    <cfRule type="cellIs" priority="6" dxfId="0" operator="equal" stopIfTrue="1">
      <formula>"GREEN"</formula>
    </cfRule>
  </conditionalFormatting>
  <hyperlinks>
    <hyperlink ref="T2:V2" location="'Summary Sheet'!A1" display="Back"/>
  </hyperlinks>
  <printOptions/>
  <pageMargins left="0.75" right="0.75" top="1" bottom="1" header="0.5" footer="0.5"/>
  <pageSetup fitToHeight="1"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dimension ref="B2:T47"/>
  <sheetViews>
    <sheetView zoomScalePageLayoutView="0" workbookViewId="0" topLeftCell="A10">
      <selection activeCell="B29" sqref="B29:K37"/>
    </sheetView>
  </sheetViews>
  <sheetFormatPr defaultColWidth="0" defaultRowHeight="12.75" zeroHeight="1"/>
  <cols>
    <col min="1" max="1" width="1.1484375" style="46" customWidth="1"/>
    <col min="2" max="11" width="9.140625" style="46" customWidth="1"/>
    <col min="12" max="12" width="1.28515625" style="46" customWidth="1"/>
    <col min="13" max="15" width="9.140625" style="46" customWidth="1"/>
    <col min="16" max="17" width="1.7109375" style="46" customWidth="1"/>
    <col min="18" max="16384" width="0" style="46" hidden="1" customWidth="1"/>
  </cols>
  <sheetData>
    <row r="1" s="44" customFormat="1" ht="3.75" customHeight="1"/>
    <row r="2" spans="2:15" s="45" customFormat="1" ht="12.75">
      <c r="B2" s="173" t="s">
        <v>77</v>
      </c>
      <c r="C2" s="173"/>
      <c r="D2" s="173"/>
      <c r="E2" s="173"/>
      <c r="F2" s="173"/>
      <c r="G2" s="173"/>
      <c r="H2" s="173"/>
      <c r="I2" s="173"/>
      <c r="J2" s="173"/>
      <c r="K2" s="173"/>
      <c r="L2" s="44"/>
      <c r="M2" s="182" t="s">
        <v>65</v>
      </c>
      <c r="N2" s="182"/>
      <c r="O2" s="182"/>
    </row>
    <row r="3" spans="2:16" ht="12.75">
      <c r="B3" s="207" t="s">
        <v>70</v>
      </c>
      <c r="C3" s="207"/>
      <c r="D3" s="207"/>
      <c r="E3" s="207"/>
      <c r="F3" s="207"/>
      <c r="G3" s="207"/>
      <c r="H3" s="207"/>
      <c r="I3" s="207"/>
      <c r="J3" s="207"/>
      <c r="K3" s="207"/>
      <c r="P3" s="39"/>
    </row>
    <row r="4" ht="3" customHeight="1">
      <c r="P4" s="39"/>
    </row>
    <row r="5" spans="13:17" ht="12.75">
      <c r="M5" s="189" t="s">
        <v>61</v>
      </c>
      <c r="N5" s="189"/>
      <c r="O5" s="58" t="str">
        <f>IF(Q5&gt;=P5,"RED","GREEN")</f>
        <v>GREEN</v>
      </c>
      <c r="P5" s="57">
        <f ca="1">INDIRECT(CONCATENATE("'Main Datasheet'!$r$"&amp;SUM(COUNTA('Main Datasheet'!C:C)+2)))</f>
        <v>5</v>
      </c>
      <c r="Q5" s="57">
        <f ca="1">INDIRECT(CONCATENATE("'Main Datasheet'!$q$"&amp;SUM(COUNTA('Main Datasheet'!C:C)+2)))</f>
        <v>0</v>
      </c>
    </row>
    <row r="6" spans="13:16" ht="12.75">
      <c r="M6" s="189" t="s">
        <v>68</v>
      </c>
      <c r="N6" s="189"/>
      <c r="O6" s="48" t="str">
        <f>IF(O7&gt;P6,"Worse",IF(ROUNDUP(O7,2)=ROUNDUP(P6,2),"Same","Better"))</f>
        <v>Better</v>
      </c>
      <c r="P6" s="39">
        <f ca="1">INDIRECT(CONCATENATE("'Main Datasheet'!$O$"&amp;SUM(COUNTA('Main Datasheet'!C:C)+1)))</f>
        <v>0.28</v>
      </c>
    </row>
    <row r="7" spans="13:16" ht="12.75">
      <c r="M7" s="208" t="s">
        <v>23</v>
      </c>
      <c r="N7" s="209"/>
      <c r="O7" s="96">
        <f ca="1">INDIRECT(CONCATENATE("'Main Datasheet'!$O$"&amp;SUM(COUNTA('Main Datasheet'!C:C)+2)))</f>
        <v>0.158919348430671</v>
      </c>
      <c r="P7" s="39"/>
    </row>
    <row r="8" ht="12.75"/>
    <row r="9" spans="13:15" ht="12.75">
      <c r="M9" s="152" t="s">
        <v>63</v>
      </c>
      <c r="N9" s="153"/>
      <c r="O9" s="154"/>
    </row>
    <row r="10" spans="13:15" ht="12.75">
      <c r="M10" s="206"/>
      <c r="N10" s="198"/>
      <c r="O10" s="199"/>
    </row>
    <row r="11" spans="13:15" ht="12.75">
      <c r="M11" s="200"/>
      <c r="N11" s="201"/>
      <c r="O11" s="202"/>
    </row>
    <row r="12" spans="13:15" ht="12.75">
      <c r="M12" s="200"/>
      <c r="N12" s="201"/>
      <c r="O12" s="202"/>
    </row>
    <row r="13" spans="13:15" ht="12.75">
      <c r="M13" s="200"/>
      <c r="N13" s="201"/>
      <c r="O13" s="202"/>
    </row>
    <row r="14" spans="13:15" ht="12.75">
      <c r="M14" s="200"/>
      <c r="N14" s="201"/>
      <c r="O14" s="202"/>
    </row>
    <row r="15" spans="13:15" ht="12.75">
      <c r="M15" s="200"/>
      <c r="N15" s="201"/>
      <c r="O15" s="202"/>
    </row>
    <row r="16" spans="13:15" ht="12.75">
      <c r="M16" s="200"/>
      <c r="N16" s="201"/>
      <c r="O16" s="202"/>
    </row>
    <row r="17" spans="13:15" ht="12.75">
      <c r="M17" s="200"/>
      <c r="N17" s="201"/>
      <c r="O17" s="202"/>
    </row>
    <row r="18" spans="13:15" ht="12.75">
      <c r="M18" s="200"/>
      <c r="N18" s="201"/>
      <c r="O18" s="202"/>
    </row>
    <row r="19" spans="13:15" ht="12.75">
      <c r="M19" s="200"/>
      <c r="N19" s="201"/>
      <c r="O19" s="202"/>
    </row>
    <row r="20" spans="13:15" ht="12.75">
      <c r="M20" s="200"/>
      <c r="N20" s="201"/>
      <c r="O20" s="202"/>
    </row>
    <row r="21" spans="13:15" ht="12.75">
      <c r="M21" s="200"/>
      <c r="N21" s="201"/>
      <c r="O21" s="202"/>
    </row>
    <row r="22" spans="13:15" ht="12.75">
      <c r="M22" s="200"/>
      <c r="N22" s="201"/>
      <c r="O22" s="202"/>
    </row>
    <row r="23" spans="13:15" ht="12.75">
      <c r="M23" s="200"/>
      <c r="N23" s="201"/>
      <c r="O23" s="202"/>
    </row>
    <row r="24" spans="13:15" ht="12.75">
      <c r="M24" s="200"/>
      <c r="N24" s="201"/>
      <c r="O24" s="202"/>
    </row>
    <row r="25" spans="13:15" ht="12.75">
      <c r="M25" s="200"/>
      <c r="N25" s="201"/>
      <c r="O25" s="202"/>
    </row>
    <row r="26" spans="13:15" ht="12.75">
      <c r="M26" s="200"/>
      <c r="N26" s="201"/>
      <c r="O26" s="202"/>
    </row>
    <row r="27" spans="13:15" ht="4.5" customHeight="1">
      <c r="M27" s="200"/>
      <c r="N27" s="201"/>
      <c r="O27" s="202"/>
    </row>
    <row r="28" spans="2:15" ht="12.75">
      <c r="B28" s="190" t="s">
        <v>60</v>
      </c>
      <c r="C28" s="190"/>
      <c r="D28" s="190"/>
      <c r="E28" s="190"/>
      <c r="F28" s="190"/>
      <c r="G28" s="190"/>
      <c r="H28" s="190"/>
      <c r="I28" s="190"/>
      <c r="J28" s="190"/>
      <c r="K28" s="190"/>
      <c r="M28" s="200"/>
      <c r="N28" s="201"/>
      <c r="O28" s="202"/>
    </row>
    <row r="29" spans="2:15" ht="12.75" customHeight="1">
      <c r="B29" s="164" t="s">
        <v>100</v>
      </c>
      <c r="C29" s="191"/>
      <c r="D29" s="191"/>
      <c r="E29" s="191"/>
      <c r="F29" s="191"/>
      <c r="G29" s="191"/>
      <c r="H29" s="191"/>
      <c r="I29" s="191"/>
      <c r="J29" s="191"/>
      <c r="K29" s="192"/>
      <c r="M29" s="200"/>
      <c r="N29" s="201"/>
      <c r="O29" s="202"/>
    </row>
    <row r="30" spans="2:15" ht="12.75">
      <c r="B30" s="185"/>
      <c r="C30" s="193"/>
      <c r="D30" s="193"/>
      <c r="E30" s="193"/>
      <c r="F30" s="193"/>
      <c r="G30" s="193"/>
      <c r="H30" s="193"/>
      <c r="I30" s="193"/>
      <c r="J30" s="193"/>
      <c r="K30" s="194"/>
      <c r="M30" s="200"/>
      <c r="N30" s="201"/>
      <c r="O30" s="202"/>
    </row>
    <row r="31" spans="2:15" ht="12.75">
      <c r="B31" s="185"/>
      <c r="C31" s="193"/>
      <c r="D31" s="193"/>
      <c r="E31" s="193"/>
      <c r="F31" s="193"/>
      <c r="G31" s="193"/>
      <c r="H31" s="193"/>
      <c r="I31" s="193"/>
      <c r="J31" s="193"/>
      <c r="K31" s="194"/>
      <c r="M31" s="200"/>
      <c r="N31" s="201"/>
      <c r="O31" s="202"/>
    </row>
    <row r="32" spans="2:15" ht="2.25" customHeight="1">
      <c r="B32" s="185"/>
      <c r="C32" s="193"/>
      <c r="D32" s="193"/>
      <c r="E32" s="193"/>
      <c r="F32" s="193"/>
      <c r="G32" s="193"/>
      <c r="H32" s="193"/>
      <c r="I32" s="193"/>
      <c r="J32" s="193"/>
      <c r="K32" s="194"/>
      <c r="M32" s="200"/>
      <c r="N32" s="201"/>
      <c r="O32" s="202"/>
    </row>
    <row r="33" spans="2:15" ht="12.75" customHeight="1" hidden="1">
      <c r="B33" s="185"/>
      <c r="C33" s="193"/>
      <c r="D33" s="193"/>
      <c r="E33" s="193"/>
      <c r="F33" s="193"/>
      <c r="G33" s="193"/>
      <c r="H33" s="193"/>
      <c r="I33" s="193"/>
      <c r="J33" s="193"/>
      <c r="K33" s="194"/>
      <c r="M33" s="200"/>
      <c r="N33" s="201"/>
      <c r="O33" s="202"/>
    </row>
    <row r="34" spans="2:15" ht="12.75" customHeight="1" hidden="1">
      <c r="B34" s="185"/>
      <c r="C34" s="193"/>
      <c r="D34" s="193"/>
      <c r="E34" s="193"/>
      <c r="F34" s="193"/>
      <c r="G34" s="193"/>
      <c r="H34" s="193"/>
      <c r="I34" s="193"/>
      <c r="J34" s="193"/>
      <c r="K34" s="194"/>
      <c r="M34" s="200"/>
      <c r="N34" s="201"/>
      <c r="O34" s="202"/>
    </row>
    <row r="35" spans="2:15" ht="12.75" customHeight="1" hidden="1">
      <c r="B35" s="185"/>
      <c r="C35" s="193"/>
      <c r="D35" s="193"/>
      <c r="E35" s="193"/>
      <c r="F35" s="193"/>
      <c r="G35" s="193"/>
      <c r="H35" s="193"/>
      <c r="I35" s="193"/>
      <c r="J35" s="193"/>
      <c r="K35" s="194"/>
      <c r="M35" s="200"/>
      <c r="N35" s="201"/>
      <c r="O35" s="202"/>
    </row>
    <row r="36" spans="2:15" ht="12.75" customHeight="1" hidden="1">
      <c r="B36" s="185"/>
      <c r="C36" s="193"/>
      <c r="D36" s="193"/>
      <c r="E36" s="193"/>
      <c r="F36" s="193"/>
      <c r="G36" s="193"/>
      <c r="H36" s="193"/>
      <c r="I36" s="193"/>
      <c r="J36" s="193"/>
      <c r="K36" s="194"/>
      <c r="M36" s="200"/>
      <c r="N36" s="201"/>
      <c r="O36" s="202"/>
    </row>
    <row r="37" spans="2:15" ht="12.75">
      <c r="B37" s="195"/>
      <c r="C37" s="196"/>
      <c r="D37" s="196"/>
      <c r="E37" s="196"/>
      <c r="F37" s="196"/>
      <c r="G37" s="196"/>
      <c r="H37" s="196"/>
      <c r="I37" s="196"/>
      <c r="J37" s="196"/>
      <c r="K37" s="197"/>
      <c r="M37" s="203"/>
      <c r="N37" s="204"/>
      <c r="O37" s="205"/>
    </row>
    <row r="38" ht="3" customHeight="1"/>
    <row r="39" spans="2:20" ht="12.75">
      <c r="B39" s="73" t="s">
        <v>64</v>
      </c>
      <c r="C39" s="74"/>
      <c r="D39" s="74"/>
      <c r="E39" s="74"/>
      <c r="F39" s="74"/>
      <c r="G39" s="74"/>
      <c r="H39" s="74"/>
      <c r="I39" s="74"/>
      <c r="J39" s="74"/>
      <c r="K39" s="74"/>
      <c r="L39" s="74"/>
      <c r="M39" s="74"/>
      <c r="N39" s="74"/>
      <c r="O39" s="75"/>
      <c r="P39" s="77"/>
      <c r="Q39" s="77"/>
      <c r="R39" s="77"/>
      <c r="S39" s="77"/>
      <c r="T39" s="77"/>
    </row>
    <row r="40" spans="2:20" ht="12.75" customHeight="1">
      <c r="B40" s="164" t="s">
        <v>101</v>
      </c>
      <c r="C40" s="198"/>
      <c r="D40" s="198"/>
      <c r="E40" s="198"/>
      <c r="F40" s="198"/>
      <c r="G40" s="198"/>
      <c r="H40" s="198"/>
      <c r="I40" s="198"/>
      <c r="J40" s="198"/>
      <c r="K40" s="198"/>
      <c r="L40" s="198"/>
      <c r="M40" s="198"/>
      <c r="N40" s="198"/>
      <c r="O40" s="199"/>
      <c r="P40" s="76"/>
      <c r="Q40" s="76"/>
      <c r="R40" s="76"/>
      <c r="S40" s="76"/>
      <c r="T40" s="76"/>
    </row>
    <row r="41" spans="2:20" ht="12.75">
      <c r="B41" s="200"/>
      <c r="C41" s="201"/>
      <c r="D41" s="201"/>
      <c r="E41" s="201"/>
      <c r="F41" s="201"/>
      <c r="G41" s="201"/>
      <c r="H41" s="201"/>
      <c r="I41" s="201"/>
      <c r="J41" s="201"/>
      <c r="K41" s="201"/>
      <c r="L41" s="201"/>
      <c r="M41" s="201"/>
      <c r="N41" s="201"/>
      <c r="O41" s="202"/>
      <c r="P41" s="76"/>
      <c r="Q41" s="76"/>
      <c r="R41" s="76"/>
      <c r="S41" s="76"/>
      <c r="T41" s="76"/>
    </row>
    <row r="42" spans="2:20" ht="0.75" customHeight="1">
      <c r="B42" s="200"/>
      <c r="C42" s="201"/>
      <c r="D42" s="201"/>
      <c r="E42" s="201"/>
      <c r="F42" s="201"/>
      <c r="G42" s="201"/>
      <c r="H42" s="201"/>
      <c r="I42" s="201"/>
      <c r="J42" s="201"/>
      <c r="K42" s="201"/>
      <c r="L42" s="201"/>
      <c r="M42" s="201"/>
      <c r="N42" s="201"/>
      <c r="O42" s="202"/>
      <c r="P42" s="76"/>
      <c r="Q42" s="76"/>
      <c r="R42" s="76"/>
      <c r="S42" s="76"/>
      <c r="T42" s="76"/>
    </row>
    <row r="43" spans="2:20" ht="12.75" hidden="1">
      <c r="B43" s="200"/>
      <c r="C43" s="201"/>
      <c r="D43" s="201"/>
      <c r="E43" s="201"/>
      <c r="F43" s="201"/>
      <c r="G43" s="201"/>
      <c r="H43" s="201"/>
      <c r="I43" s="201"/>
      <c r="J43" s="201"/>
      <c r="K43" s="201"/>
      <c r="L43" s="201"/>
      <c r="M43" s="201"/>
      <c r="N43" s="201"/>
      <c r="O43" s="202"/>
      <c r="P43" s="76"/>
      <c r="Q43" s="76"/>
      <c r="R43" s="76"/>
      <c r="S43" s="76"/>
      <c r="T43" s="76"/>
    </row>
    <row r="44" spans="2:20" ht="12.75" hidden="1">
      <c r="B44" s="200"/>
      <c r="C44" s="201"/>
      <c r="D44" s="201"/>
      <c r="E44" s="201"/>
      <c r="F44" s="201"/>
      <c r="G44" s="201"/>
      <c r="H44" s="201"/>
      <c r="I44" s="201"/>
      <c r="J44" s="201"/>
      <c r="K44" s="201"/>
      <c r="L44" s="201"/>
      <c r="M44" s="201"/>
      <c r="N44" s="201"/>
      <c r="O44" s="202"/>
      <c r="P44" s="76"/>
      <c r="Q44" s="76"/>
      <c r="R44" s="76"/>
      <c r="S44" s="76"/>
      <c r="T44" s="76"/>
    </row>
    <row r="45" spans="2:20" ht="12.75">
      <c r="B45" s="200"/>
      <c r="C45" s="201"/>
      <c r="D45" s="201"/>
      <c r="E45" s="201"/>
      <c r="F45" s="201"/>
      <c r="G45" s="201"/>
      <c r="H45" s="201"/>
      <c r="I45" s="201"/>
      <c r="J45" s="201"/>
      <c r="K45" s="201"/>
      <c r="L45" s="201"/>
      <c r="M45" s="201"/>
      <c r="N45" s="201"/>
      <c r="O45" s="202"/>
      <c r="P45" s="76"/>
      <c r="Q45" s="76"/>
      <c r="R45" s="76"/>
      <c r="S45" s="76"/>
      <c r="T45" s="76"/>
    </row>
    <row r="46" spans="2:20" ht="12.75">
      <c r="B46" s="203"/>
      <c r="C46" s="204"/>
      <c r="D46" s="204"/>
      <c r="E46" s="204"/>
      <c r="F46" s="204"/>
      <c r="G46" s="204"/>
      <c r="H46" s="204"/>
      <c r="I46" s="204"/>
      <c r="J46" s="204"/>
      <c r="K46" s="204"/>
      <c r="L46" s="204"/>
      <c r="M46" s="204"/>
      <c r="N46" s="204"/>
      <c r="O46" s="205"/>
      <c r="P46" s="76"/>
      <c r="Q46" s="76"/>
      <c r="R46" s="76"/>
      <c r="S46" s="76"/>
      <c r="T46" s="76"/>
    </row>
    <row r="47" spans="2:20" ht="12.75">
      <c r="B47" s="47"/>
      <c r="C47" s="47"/>
      <c r="D47" s="47"/>
      <c r="E47" s="47"/>
      <c r="F47" s="47"/>
      <c r="G47" s="47"/>
      <c r="H47" s="47"/>
      <c r="I47" s="47"/>
      <c r="J47" s="47"/>
      <c r="K47" s="47"/>
      <c r="L47" s="47"/>
      <c r="M47" s="47"/>
      <c r="N47" s="47"/>
      <c r="O47" s="47"/>
      <c r="P47" s="47"/>
      <c r="Q47" s="47"/>
      <c r="R47" s="47"/>
      <c r="S47" s="47"/>
      <c r="T47" s="47"/>
    </row>
  </sheetData>
  <sheetProtection/>
  <mergeCells count="11">
    <mergeCell ref="B2:K2"/>
    <mergeCell ref="B3:K3"/>
    <mergeCell ref="M6:N6"/>
    <mergeCell ref="M7:N7"/>
    <mergeCell ref="M2:O2"/>
    <mergeCell ref="M5:N5"/>
    <mergeCell ref="B28:K28"/>
    <mergeCell ref="B29:K37"/>
    <mergeCell ref="B40:O46"/>
    <mergeCell ref="M9:O9"/>
    <mergeCell ref="M10:O37"/>
  </mergeCells>
  <conditionalFormatting sqref="O6">
    <cfRule type="cellIs" priority="1" dxfId="11" operator="equal" stopIfTrue="1">
      <formula>"Better"</formula>
    </cfRule>
    <cfRule type="cellIs" priority="2" dxfId="1" operator="equal" stopIfTrue="1">
      <formula>"Worse"</formula>
    </cfRule>
  </conditionalFormatting>
  <conditionalFormatting sqref="P5">
    <cfRule type="cellIs" priority="3" dxfId="3" operator="greaterThanOrEqual" stopIfTrue="1">
      <formula>$W$4</formula>
    </cfRule>
    <cfRule type="cellIs" priority="4" dxfId="2" operator="lessThan" stopIfTrue="1">
      <formula>$W$4</formula>
    </cfRule>
  </conditionalFormatting>
  <conditionalFormatting sqref="O5">
    <cfRule type="cellIs" priority="5" dxfId="1" operator="equal" stopIfTrue="1">
      <formula>"RED"</formula>
    </cfRule>
    <cfRule type="cellIs" priority="6" dxfId="0" operator="equal" stopIfTrue="1">
      <formula>"GREEN"</formula>
    </cfRule>
  </conditionalFormatting>
  <hyperlinks>
    <hyperlink ref="M2:O2" location="'Summary Sheet'!A1" display="Back"/>
  </hyperlinks>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X46"/>
  <sheetViews>
    <sheetView tabSelected="1" zoomScalePageLayoutView="0" workbookViewId="0" topLeftCell="A10">
      <selection activeCell="B39" sqref="B39:V46"/>
    </sheetView>
  </sheetViews>
  <sheetFormatPr defaultColWidth="0" defaultRowHeight="12.75" zeroHeight="1"/>
  <cols>
    <col min="1" max="1" width="1.1484375" style="1" customWidth="1"/>
    <col min="2" max="7" width="9.140625" style="1" customWidth="1"/>
    <col min="8" max="8" width="7.57421875" style="1" customWidth="1"/>
    <col min="9" max="9" width="9.421875" style="1" customWidth="1"/>
    <col min="10" max="10" width="1.1484375" style="1" customWidth="1"/>
    <col min="11" max="16" width="9.140625" style="1" customWidth="1"/>
    <col min="17" max="17" width="7.140625" style="1" customWidth="1"/>
    <col min="18" max="18" width="10.8515625" style="1" customWidth="1"/>
    <col min="19" max="19" width="1.28515625" style="1" customWidth="1"/>
    <col min="20" max="20" width="12.00390625" style="1" customWidth="1"/>
    <col min="21" max="21" width="6.57421875" style="1" customWidth="1"/>
    <col min="22" max="22" width="9.140625" style="1" customWidth="1"/>
    <col min="23" max="23" width="1.7109375" style="1" customWidth="1"/>
    <col min="24" max="24" width="1.28515625" style="1" customWidth="1"/>
    <col min="25" max="16384" width="0" style="1" hidden="1" customWidth="1"/>
  </cols>
  <sheetData>
    <row r="1" ht="16.5" customHeight="1"/>
    <row r="2" spans="2:22" ht="12.75">
      <c r="B2" s="233" t="s">
        <v>55</v>
      </c>
      <c r="C2" s="173"/>
      <c r="D2" s="173"/>
      <c r="E2" s="173"/>
      <c r="F2" s="173"/>
      <c r="G2" s="173"/>
      <c r="H2" s="173"/>
      <c r="I2" s="173"/>
      <c r="J2" s="173"/>
      <c r="K2" s="173"/>
      <c r="L2" s="173"/>
      <c r="M2" s="173"/>
      <c r="N2" s="173"/>
      <c r="O2" s="173"/>
      <c r="P2" s="173"/>
      <c r="Q2" s="173"/>
      <c r="R2" s="173"/>
      <c r="T2" s="175" t="s">
        <v>65</v>
      </c>
      <c r="U2" s="176"/>
      <c r="V2" s="177"/>
    </row>
    <row r="3" spans="2:18" ht="12.75">
      <c r="B3" s="174" t="s">
        <v>57</v>
      </c>
      <c r="C3" s="174"/>
      <c r="D3" s="174"/>
      <c r="E3" s="174"/>
      <c r="F3" s="174"/>
      <c r="G3" s="174"/>
      <c r="H3" s="174"/>
      <c r="I3" s="174"/>
      <c r="J3" s="37"/>
      <c r="K3" s="174" t="s">
        <v>58</v>
      </c>
      <c r="L3" s="174"/>
      <c r="M3" s="174"/>
      <c r="N3" s="174"/>
      <c r="O3" s="174"/>
      <c r="P3" s="174"/>
      <c r="Q3" s="174"/>
      <c r="R3" s="174"/>
    </row>
    <row r="4" spans="20:24" ht="12.75">
      <c r="T4" s="219" t="s">
        <v>61</v>
      </c>
      <c r="U4" s="220"/>
      <c r="V4" s="58" t="str">
        <f>IF(X4&gt;=W4,"RED","GREEN")</f>
        <v>GREEN</v>
      </c>
      <c r="W4" s="57">
        <f ca="1">INDIRECT(CONCATENATE("'Main Datasheet'!$y$"&amp;SUM(COUNTA('Main Datasheet'!C:C)+2)))</f>
        <v>5</v>
      </c>
      <c r="X4" s="57">
        <f ca="1">INDIRECT(CONCATENATE("'Main Datasheet'!$X$"&amp;SUM(COUNTA('Main Datasheet'!C:C)+2)))</f>
        <v>0</v>
      </c>
    </row>
    <row r="5" spans="20:23" ht="12.75">
      <c r="T5" s="221" t="s">
        <v>68</v>
      </c>
      <c r="U5" s="222"/>
      <c r="V5" s="38" t="str">
        <f>IF(V6&gt;W5,"Worse",IF(V6=W5,"Same","Better"))</f>
        <v>Same</v>
      </c>
      <c r="W5" s="39">
        <f ca="1">INDIRECT(CONCATENATE("'Main Datasheet'!$T$"&amp;SUM(COUNTA('Main Datasheet'!C:C)+1)))</f>
        <v>8</v>
      </c>
    </row>
    <row r="6" spans="20:22" ht="12.75">
      <c r="T6" s="219" t="s">
        <v>50</v>
      </c>
      <c r="U6" s="220"/>
      <c r="V6" s="36">
        <f ca="1">INDIRECT(CONCATENATE("'Main Datasheet'!$T$"&amp;SUM(COUNTA('Main Datasheet'!C:C)+2)))</f>
        <v>8</v>
      </c>
    </row>
    <row r="7" spans="20:22" ht="12.75">
      <c r="T7" s="231"/>
      <c r="U7" s="231"/>
      <c r="V7" s="231"/>
    </row>
    <row r="8" spans="20:22" ht="12.75">
      <c r="T8" s="152" t="s">
        <v>63</v>
      </c>
      <c r="U8" s="153"/>
      <c r="V8" s="154"/>
    </row>
    <row r="9" spans="20:22" ht="12.75">
      <c r="T9" s="232"/>
      <c r="U9" s="165"/>
      <c r="V9" s="166"/>
    </row>
    <row r="10" spans="20:22" ht="12.75">
      <c r="T10" s="167"/>
      <c r="U10" s="168"/>
      <c r="V10" s="169"/>
    </row>
    <row r="11" spans="20:22" ht="12.75">
      <c r="T11" s="167"/>
      <c r="U11" s="168"/>
      <c r="V11" s="169"/>
    </row>
    <row r="12" spans="20:22" ht="12.75">
      <c r="T12" s="167"/>
      <c r="U12" s="168"/>
      <c r="V12" s="169"/>
    </row>
    <row r="13" spans="20:22" ht="12.75">
      <c r="T13" s="167"/>
      <c r="U13" s="168"/>
      <c r="V13" s="169"/>
    </row>
    <row r="14" spans="20:22" ht="12.75">
      <c r="T14" s="167"/>
      <c r="U14" s="168"/>
      <c r="V14" s="169"/>
    </row>
    <row r="15" spans="20:22" ht="12.75">
      <c r="T15" s="167"/>
      <c r="U15" s="168"/>
      <c r="V15" s="169"/>
    </row>
    <row r="16" spans="20:22" ht="12.75">
      <c r="T16" s="167"/>
      <c r="U16" s="168"/>
      <c r="V16" s="169"/>
    </row>
    <row r="17" spans="20:22" ht="12.75">
      <c r="T17" s="167"/>
      <c r="U17" s="168"/>
      <c r="V17" s="169"/>
    </row>
    <row r="18" spans="20:22" ht="12.75">
      <c r="T18" s="167"/>
      <c r="U18" s="168"/>
      <c r="V18" s="169"/>
    </row>
    <row r="19" spans="20:22" ht="12.75">
      <c r="T19" s="167"/>
      <c r="U19" s="168"/>
      <c r="V19" s="169"/>
    </row>
    <row r="20" spans="20:22" ht="12.75">
      <c r="T20" s="167"/>
      <c r="U20" s="168"/>
      <c r="V20" s="169"/>
    </row>
    <row r="21" spans="20:22" ht="4.5" customHeight="1">
      <c r="T21" s="167"/>
      <c r="U21" s="168"/>
      <c r="V21" s="169"/>
    </row>
    <row r="22" spans="2:22" ht="12.75">
      <c r="B22" s="152" t="s">
        <v>60</v>
      </c>
      <c r="C22" s="153"/>
      <c r="D22" s="153"/>
      <c r="E22" s="153"/>
      <c r="F22" s="153"/>
      <c r="G22" s="153"/>
      <c r="H22" s="153"/>
      <c r="I22" s="154"/>
      <c r="K22" s="152" t="s">
        <v>60</v>
      </c>
      <c r="L22" s="153"/>
      <c r="M22" s="153"/>
      <c r="N22" s="153"/>
      <c r="O22" s="153"/>
      <c r="P22" s="153"/>
      <c r="Q22" s="153"/>
      <c r="R22" s="154"/>
      <c r="T22" s="167"/>
      <c r="U22" s="168"/>
      <c r="V22" s="169"/>
    </row>
    <row r="23" spans="2:22" ht="12.75" customHeight="1">
      <c r="B23" s="210" t="s">
        <v>102</v>
      </c>
      <c r="C23" s="234"/>
      <c r="D23" s="234"/>
      <c r="E23" s="234"/>
      <c r="F23" s="234"/>
      <c r="G23" s="234"/>
      <c r="H23" s="234"/>
      <c r="I23" s="235"/>
      <c r="K23" s="210" t="s">
        <v>95</v>
      </c>
      <c r="L23" s="211"/>
      <c r="M23" s="211"/>
      <c r="N23" s="211"/>
      <c r="O23" s="211"/>
      <c r="P23" s="211"/>
      <c r="Q23" s="211"/>
      <c r="R23" s="212"/>
      <c r="T23" s="167"/>
      <c r="U23" s="168"/>
      <c r="V23" s="169"/>
    </row>
    <row r="24" spans="2:22" ht="12.75">
      <c r="B24" s="236"/>
      <c r="C24" s="237"/>
      <c r="D24" s="237"/>
      <c r="E24" s="237"/>
      <c r="F24" s="237"/>
      <c r="G24" s="237"/>
      <c r="H24" s="237"/>
      <c r="I24" s="238"/>
      <c r="K24" s="213"/>
      <c r="L24" s="214"/>
      <c r="M24" s="214"/>
      <c r="N24" s="214"/>
      <c r="O24" s="214"/>
      <c r="P24" s="214"/>
      <c r="Q24" s="214"/>
      <c r="R24" s="215"/>
      <c r="T24" s="167"/>
      <c r="U24" s="168"/>
      <c r="V24" s="169"/>
    </row>
    <row r="25" spans="2:22" ht="12.75">
      <c r="B25" s="236"/>
      <c r="C25" s="237"/>
      <c r="D25" s="237"/>
      <c r="E25" s="237"/>
      <c r="F25" s="237"/>
      <c r="G25" s="237"/>
      <c r="H25" s="237"/>
      <c r="I25" s="238"/>
      <c r="K25" s="213"/>
      <c r="L25" s="214"/>
      <c r="M25" s="214"/>
      <c r="N25" s="214"/>
      <c r="O25" s="214"/>
      <c r="P25" s="214"/>
      <c r="Q25" s="214"/>
      <c r="R25" s="215"/>
      <c r="T25" s="167"/>
      <c r="U25" s="168"/>
      <c r="V25" s="169"/>
    </row>
    <row r="26" spans="2:22" ht="12.75">
      <c r="B26" s="236"/>
      <c r="C26" s="237"/>
      <c r="D26" s="237"/>
      <c r="E26" s="237"/>
      <c r="F26" s="237"/>
      <c r="G26" s="237"/>
      <c r="H26" s="237"/>
      <c r="I26" s="238"/>
      <c r="K26" s="213"/>
      <c r="L26" s="214"/>
      <c r="M26" s="214"/>
      <c r="N26" s="214"/>
      <c r="O26" s="214"/>
      <c r="P26" s="214"/>
      <c r="Q26" s="214"/>
      <c r="R26" s="215"/>
      <c r="T26" s="167"/>
      <c r="U26" s="168"/>
      <c r="V26" s="169"/>
    </row>
    <row r="27" spans="2:22" ht="12.75" customHeight="1" hidden="1">
      <c r="B27" s="236"/>
      <c r="C27" s="237"/>
      <c r="D27" s="237"/>
      <c r="E27" s="237"/>
      <c r="F27" s="237"/>
      <c r="G27" s="237"/>
      <c r="H27" s="237"/>
      <c r="I27" s="238"/>
      <c r="K27" s="213"/>
      <c r="L27" s="214"/>
      <c r="M27" s="214"/>
      <c r="N27" s="214"/>
      <c r="O27" s="214"/>
      <c r="P27" s="214"/>
      <c r="Q27" s="214"/>
      <c r="R27" s="215"/>
      <c r="T27" s="167"/>
      <c r="U27" s="168"/>
      <c r="V27" s="169"/>
    </row>
    <row r="28" spans="2:22" ht="12.75" customHeight="1" hidden="1">
      <c r="B28" s="236"/>
      <c r="C28" s="237"/>
      <c r="D28" s="237"/>
      <c r="E28" s="237"/>
      <c r="F28" s="237"/>
      <c r="G28" s="237"/>
      <c r="H28" s="237"/>
      <c r="I28" s="238"/>
      <c r="K28" s="213"/>
      <c r="L28" s="214"/>
      <c r="M28" s="214"/>
      <c r="N28" s="214"/>
      <c r="O28" s="214"/>
      <c r="P28" s="214"/>
      <c r="Q28" s="214"/>
      <c r="R28" s="215"/>
      <c r="T28" s="167"/>
      <c r="U28" s="168"/>
      <c r="V28" s="169"/>
    </row>
    <row r="29" spans="2:22" ht="12.75" customHeight="1" hidden="1">
      <c r="B29" s="236"/>
      <c r="C29" s="237"/>
      <c r="D29" s="237"/>
      <c r="E29" s="237"/>
      <c r="F29" s="237"/>
      <c r="G29" s="237"/>
      <c r="H29" s="237"/>
      <c r="I29" s="238"/>
      <c r="K29" s="213"/>
      <c r="L29" s="214"/>
      <c r="M29" s="214"/>
      <c r="N29" s="214"/>
      <c r="O29" s="214"/>
      <c r="P29" s="214"/>
      <c r="Q29" s="214"/>
      <c r="R29" s="215"/>
      <c r="T29" s="167"/>
      <c r="U29" s="168"/>
      <c r="V29" s="169"/>
    </row>
    <row r="30" spans="2:22" ht="12.75" customHeight="1" hidden="1">
      <c r="B30" s="236"/>
      <c r="C30" s="237"/>
      <c r="D30" s="237"/>
      <c r="E30" s="237"/>
      <c r="F30" s="237"/>
      <c r="G30" s="237"/>
      <c r="H30" s="237"/>
      <c r="I30" s="238"/>
      <c r="K30" s="213"/>
      <c r="L30" s="214"/>
      <c r="M30" s="214"/>
      <c r="N30" s="214"/>
      <c r="O30" s="214"/>
      <c r="P30" s="214"/>
      <c r="Q30" s="214"/>
      <c r="R30" s="215"/>
      <c r="T30" s="167"/>
      <c r="U30" s="168"/>
      <c r="V30" s="169"/>
    </row>
    <row r="31" spans="2:22" ht="12.75" customHeight="1" hidden="1">
      <c r="B31" s="236"/>
      <c r="C31" s="237"/>
      <c r="D31" s="237"/>
      <c r="E31" s="237"/>
      <c r="F31" s="237"/>
      <c r="G31" s="237"/>
      <c r="H31" s="237"/>
      <c r="I31" s="238"/>
      <c r="K31" s="213"/>
      <c r="L31" s="214"/>
      <c r="M31" s="214"/>
      <c r="N31" s="214"/>
      <c r="O31" s="214"/>
      <c r="P31" s="214"/>
      <c r="Q31" s="214"/>
      <c r="R31" s="215"/>
      <c r="T31" s="167"/>
      <c r="U31" s="168"/>
      <c r="V31" s="169"/>
    </row>
    <row r="32" spans="2:22" ht="12.75" customHeight="1" hidden="1">
      <c r="B32" s="236"/>
      <c r="C32" s="237"/>
      <c r="D32" s="237"/>
      <c r="E32" s="237"/>
      <c r="F32" s="237"/>
      <c r="G32" s="237"/>
      <c r="H32" s="237"/>
      <c r="I32" s="238"/>
      <c r="K32" s="213"/>
      <c r="L32" s="214"/>
      <c r="M32" s="214"/>
      <c r="N32" s="214"/>
      <c r="O32" s="214"/>
      <c r="P32" s="214"/>
      <c r="Q32" s="214"/>
      <c r="R32" s="215"/>
      <c r="T32" s="167"/>
      <c r="U32" s="168"/>
      <c r="V32" s="169"/>
    </row>
    <row r="33" spans="2:22" ht="12.75" customHeight="1" hidden="1">
      <c r="B33" s="236"/>
      <c r="C33" s="237"/>
      <c r="D33" s="237"/>
      <c r="E33" s="237"/>
      <c r="F33" s="237"/>
      <c r="G33" s="237"/>
      <c r="H33" s="237"/>
      <c r="I33" s="238"/>
      <c r="K33" s="213"/>
      <c r="L33" s="214"/>
      <c r="M33" s="214"/>
      <c r="N33" s="214"/>
      <c r="O33" s="214"/>
      <c r="P33" s="214"/>
      <c r="Q33" s="214"/>
      <c r="R33" s="215"/>
      <c r="T33" s="167"/>
      <c r="U33" s="168"/>
      <c r="V33" s="169"/>
    </row>
    <row r="34" spans="2:22" ht="12.75" customHeight="1" hidden="1">
      <c r="B34" s="236"/>
      <c r="C34" s="237"/>
      <c r="D34" s="237"/>
      <c r="E34" s="237"/>
      <c r="F34" s="237"/>
      <c r="G34" s="237"/>
      <c r="H34" s="237"/>
      <c r="I34" s="238"/>
      <c r="K34" s="213"/>
      <c r="L34" s="214"/>
      <c r="M34" s="214"/>
      <c r="N34" s="214"/>
      <c r="O34" s="214"/>
      <c r="P34" s="214"/>
      <c r="Q34" s="214"/>
      <c r="R34" s="215"/>
      <c r="T34" s="167"/>
      <c r="U34" s="168"/>
      <c r="V34" s="169"/>
    </row>
    <row r="35" spans="2:22" ht="12.75" customHeight="1" hidden="1">
      <c r="B35" s="236"/>
      <c r="C35" s="237"/>
      <c r="D35" s="237"/>
      <c r="E35" s="237"/>
      <c r="F35" s="237"/>
      <c r="G35" s="237"/>
      <c r="H35" s="237"/>
      <c r="I35" s="238"/>
      <c r="K35" s="213"/>
      <c r="L35" s="214"/>
      <c r="M35" s="214"/>
      <c r="N35" s="214"/>
      <c r="O35" s="214"/>
      <c r="P35" s="214"/>
      <c r="Q35" s="214"/>
      <c r="R35" s="215"/>
      <c r="T35" s="167"/>
      <c r="U35" s="168"/>
      <c r="V35" s="169"/>
    </row>
    <row r="36" spans="2:22" ht="26.25" customHeight="1">
      <c r="B36" s="239"/>
      <c r="C36" s="240"/>
      <c r="D36" s="240"/>
      <c r="E36" s="240"/>
      <c r="F36" s="240"/>
      <c r="G36" s="240"/>
      <c r="H36" s="240"/>
      <c r="I36" s="241"/>
      <c r="J36" s="55"/>
      <c r="K36" s="216"/>
      <c r="L36" s="217"/>
      <c r="M36" s="217"/>
      <c r="N36" s="217"/>
      <c r="O36" s="217"/>
      <c r="P36" s="217"/>
      <c r="Q36" s="217"/>
      <c r="R36" s="218"/>
      <c r="T36" s="170"/>
      <c r="U36" s="171"/>
      <c r="V36" s="172"/>
    </row>
    <row r="37" ht="5.25" customHeight="1"/>
    <row r="38" spans="2:22" ht="12.75">
      <c r="B38" s="152" t="s">
        <v>64</v>
      </c>
      <c r="C38" s="153"/>
      <c r="D38" s="153"/>
      <c r="E38" s="153"/>
      <c r="F38" s="153"/>
      <c r="G38" s="153"/>
      <c r="H38" s="153"/>
      <c r="I38" s="153"/>
      <c r="J38" s="153"/>
      <c r="K38" s="153"/>
      <c r="L38" s="153"/>
      <c r="M38" s="153"/>
      <c r="N38" s="153"/>
      <c r="O38" s="153"/>
      <c r="P38" s="153"/>
      <c r="Q38" s="153"/>
      <c r="R38" s="153"/>
      <c r="S38" s="153"/>
      <c r="T38" s="153"/>
      <c r="U38" s="153"/>
      <c r="V38" s="154"/>
    </row>
    <row r="39" spans="2:22" ht="12.75">
      <c r="B39" s="164" t="s">
        <v>96</v>
      </c>
      <c r="C39" s="223"/>
      <c r="D39" s="223"/>
      <c r="E39" s="223"/>
      <c r="F39" s="223"/>
      <c r="G39" s="223"/>
      <c r="H39" s="223"/>
      <c r="I39" s="223"/>
      <c r="J39" s="223"/>
      <c r="K39" s="223"/>
      <c r="L39" s="223"/>
      <c r="M39" s="223"/>
      <c r="N39" s="223"/>
      <c r="O39" s="223"/>
      <c r="P39" s="223"/>
      <c r="Q39" s="223"/>
      <c r="R39" s="223"/>
      <c r="S39" s="223"/>
      <c r="T39" s="223"/>
      <c r="U39" s="223"/>
      <c r="V39" s="224"/>
    </row>
    <row r="40" spans="2:22" ht="12.75">
      <c r="B40" s="225"/>
      <c r="C40" s="226"/>
      <c r="D40" s="226"/>
      <c r="E40" s="226"/>
      <c r="F40" s="226"/>
      <c r="G40" s="226"/>
      <c r="H40" s="226"/>
      <c r="I40" s="226"/>
      <c r="J40" s="226"/>
      <c r="K40" s="226"/>
      <c r="L40" s="226"/>
      <c r="M40" s="226"/>
      <c r="N40" s="226"/>
      <c r="O40" s="226"/>
      <c r="P40" s="226"/>
      <c r="Q40" s="226"/>
      <c r="R40" s="226"/>
      <c r="S40" s="226"/>
      <c r="T40" s="226"/>
      <c r="U40" s="226"/>
      <c r="V40" s="227"/>
    </row>
    <row r="41" spans="2:22" ht="12.75">
      <c r="B41" s="225"/>
      <c r="C41" s="226"/>
      <c r="D41" s="226"/>
      <c r="E41" s="226"/>
      <c r="F41" s="226"/>
      <c r="G41" s="226"/>
      <c r="H41" s="226"/>
      <c r="I41" s="226"/>
      <c r="J41" s="226"/>
      <c r="K41" s="226"/>
      <c r="L41" s="226"/>
      <c r="M41" s="226"/>
      <c r="N41" s="226"/>
      <c r="O41" s="226"/>
      <c r="P41" s="226"/>
      <c r="Q41" s="226"/>
      <c r="R41" s="226"/>
      <c r="S41" s="226"/>
      <c r="T41" s="226"/>
      <c r="U41" s="226"/>
      <c r="V41" s="227"/>
    </row>
    <row r="42" spans="2:22" ht="12.75">
      <c r="B42" s="225"/>
      <c r="C42" s="226"/>
      <c r="D42" s="226"/>
      <c r="E42" s="226"/>
      <c r="F42" s="226"/>
      <c r="G42" s="226"/>
      <c r="H42" s="226"/>
      <c r="I42" s="226"/>
      <c r="J42" s="226"/>
      <c r="K42" s="226"/>
      <c r="L42" s="226"/>
      <c r="M42" s="226"/>
      <c r="N42" s="226"/>
      <c r="O42" s="226"/>
      <c r="P42" s="226"/>
      <c r="Q42" s="226"/>
      <c r="R42" s="226"/>
      <c r="S42" s="226"/>
      <c r="T42" s="226"/>
      <c r="U42" s="226"/>
      <c r="V42" s="227"/>
    </row>
    <row r="43" spans="2:22" ht="12.75">
      <c r="B43" s="225"/>
      <c r="C43" s="226"/>
      <c r="D43" s="226"/>
      <c r="E43" s="226"/>
      <c r="F43" s="226"/>
      <c r="G43" s="226"/>
      <c r="H43" s="226"/>
      <c r="I43" s="226"/>
      <c r="J43" s="226"/>
      <c r="K43" s="226"/>
      <c r="L43" s="226"/>
      <c r="M43" s="226"/>
      <c r="N43" s="226"/>
      <c r="O43" s="226"/>
      <c r="P43" s="226"/>
      <c r="Q43" s="226"/>
      <c r="R43" s="226"/>
      <c r="S43" s="226"/>
      <c r="T43" s="226"/>
      <c r="U43" s="226"/>
      <c r="V43" s="227"/>
    </row>
    <row r="44" spans="2:22" ht="12.75">
      <c r="B44" s="225"/>
      <c r="C44" s="226"/>
      <c r="D44" s="226"/>
      <c r="E44" s="226"/>
      <c r="F44" s="226"/>
      <c r="G44" s="226"/>
      <c r="H44" s="226"/>
      <c r="I44" s="226"/>
      <c r="J44" s="226"/>
      <c r="K44" s="226"/>
      <c r="L44" s="226"/>
      <c r="M44" s="226"/>
      <c r="N44" s="226"/>
      <c r="O44" s="226"/>
      <c r="P44" s="226"/>
      <c r="Q44" s="226"/>
      <c r="R44" s="226"/>
      <c r="S44" s="226"/>
      <c r="T44" s="226"/>
      <c r="U44" s="226"/>
      <c r="V44" s="227"/>
    </row>
    <row r="45" spans="2:22" ht="12.75">
      <c r="B45" s="225"/>
      <c r="C45" s="226"/>
      <c r="D45" s="226"/>
      <c r="E45" s="226"/>
      <c r="F45" s="226"/>
      <c r="G45" s="226"/>
      <c r="H45" s="226"/>
      <c r="I45" s="226"/>
      <c r="J45" s="226"/>
      <c r="K45" s="226"/>
      <c r="L45" s="226"/>
      <c r="M45" s="226"/>
      <c r="N45" s="226"/>
      <c r="O45" s="226"/>
      <c r="P45" s="226"/>
      <c r="Q45" s="226"/>
      <c r="R45" s="226"/>
      <c r="S45" s="226"/>
      <c r="T45" s="226"/>
      <c r="U45" s="226"/>
      <c r="V45" s="227"/>
    </row>
    <row r="46" spans="2:22" ht="12.75">
      <c r="B46" s="228"/>
      <c r="C46" s="229"/>
      <c r="D46" s="229"/>
      <c r="E46" s="229"/>
      <c r="F46" s="229"/>
      <c r="G46" s="229"/>
      <c r="H46" s="229"/>
      <c r="I46" s="229"/>
      <c r="J46" s="229"/>
      <c r="K46" s="229"/>
      <c r="L46" s="229"/>
      <c r="M46" s="229"/>
      <c r="N46" s="229"/>
      <c r="O46" s="229"/>
      <c r="P46" s="229"/>
      <c r="Q46" s="229"/>
      <c r="R46" s="229"/>
      <c r="S46" s="229"/>
      <c r="T46" s="229"/>
      <c r="U46" s="229"/>
      <c r="V46" s="230"/>
    </row>
    <row r="47" ht="12.75"/>
  </sheetData>
  <sheetProtection/>
  <mergeCells count="16">
    <mergeCell ref="B39:V46"/>
    <mergeCell ref="T2:V2"/>
    <mergeCell ref="T7:V7"/>
    <mergeCell ref="T8:V8"/>
    <mergeCell ref="T9:V36"/>
    <mergeCell ref="B2:R2"/>
    <mergeCell ref="B3:I3"/>
    <mergeCell ref="K3:R3"/>
    <mergeCell ref="B22:I22"/>
    <mergeCell ref="B23:I36"/>
    <mergeCell ref="K22:R22"/>
    <mergeCell ref="K23:R36"/>
    <mergeCell ref="B38:V38"/>
    <mergeCell ref="T4:U4"/>
    <mergeCell ref="T5:U5"/>
    <mergeCell ref="T6:U6"/>
  </mergeCells>
  <conditionalFormatting sqref="V5">
    <cfRule type="cellIs" priority="1" dxfId="5" operator="equal" stopIfTrue="1">
      <formula>"Worse"</formula>
    </cfRule>
    <cfRule type="cellIs" priority="2" dxfId="4" operator="equal" stopIfTrue="1">
      <formula>"Better"</formula>
    </cfRule>
  </conditionalFormatting>
  <conditionalFormatting sqref="W4">
    <cfRule type="cellIs" priority="3" dxfId="3" operator="greaterThanOrEqual" stopIfTrue="1">
      <formula>$W$4</formula>
    </cfRule>
    <cfRule type="cellIs" priority="4" dxfId="2" operator="lessThan" stopIfTrue="1">
      <formula>$W$4</formula>
    </cfRule>
  </conditionalFormatting>
  <conditionalFormatting sqref="V4">
    <cfRule type="cellIs" priority="5" dxfId="1" operator="equal" stopIfTrue="1">
      <formula>"RED"</formula>
    </cfRule>
    <cfRule type="cellIs" priority="6" dxfId="0" operator="equal" stopIfTrue="1">
      <formula>"GREEN"</formula>
    </cfRule>
  </conditionalFormatting>
  <hyperlinks>
    <hyperlink ref="T2:V2" location="'Summary Sheet'!A1" display="Back"/>
  </hyperlinks>
  <printOptions/>
  <pageMargins left="0.75" right="0.75" top="1" bottom="1" header="0.5" footer="0.5"/>
  <pageSetup fitToHeight="1" fitToWidth="1" horizontalDpi="600" verticalDpi="600" orientation="landscape"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1" sqref="A1:C1"/>
    </sheetView>
  </sheetViews>
  <sheetFormatPr defaultColWidth="0" defaultRowHeight="12.75" zeroHeight="1"/>
  <cols>
    <col min="1" max="1" width="1.57421875" style="0" customWidth="1"/>
    <col min="2" max="2" width="13.57421875" style="0" bestFit="1" customWidth="1"/>
    <col min="3" max="3" width="119.7109375" style="0" bestFit="1" customWidth="1"/>
    <col min="4" max="4" width="2.57421875" style="0" customWidth="1"/>
    <col min="5" max="16384" width="0" style="0" hidden="1" customWidth="1"/>
  </cols>
  <sheetData>
    <row r="1" spans="1:3" s="71" customFormat="1" ht="18">
      <c r="A1" s="242" t="s">
        <v>65</v>
      </c>
      <c r="B1" s="242"/>
      <c r="C1" s="242"/>
    </row>
    <row r="2" spans="1:4" ht="13.5" thickBot="1">
      <c r="A2" s="59"/>
      <c r="B2" s="60"/>
      <c r="C2" s="60"/>
      <c r="D2" s="59"/>
    </row>
    <row r="3" spans="1:4" ht="21" customHeight="1">
      <c r="A3" s="61"/>
      <c r="B3" s="62" t="s">
        <v>78</v>
      </c>
      <c r="C3" s="63" t="s">
        <v>88</v>
      </c>
      <c r="D3" s="64"/>
    </row>
    <row r="4" spans="1:4" ht="21" customHeight="1">
      <c r="A4" s="61"/>
      <c r="B4" s="65" t="s">
        <v>50</v>
      </c>
      <c r="C4" s="66" t="s">
        <v>86</v>
      </c>
      <c r="D4" s="67"/>
    </row>
    <row r="5" spans="1:4" ht="21" customHeight="1">
      <c r="A5" s="61"/>
      <c r="B5" s="65" t="s">
        <v>51</v>
      </c>
      <c r="C5" s="66" t="s">
        <v>89</v>
      </c>
      <c r="D5" s="67"/>
    </row>
    <row r="6" spans="1:4" ht="21" customHeight="1">
      <c r="A6" s="61"/>
      <c r="B6" s="65" t="s">
        <v>9</v>
      </c>
      <c r="C6" s="66" t="s">
        <v>82</v>
      </c>
      <c r="D6" s="67"/>
    </row>
    <row r="7" spans="1:4" ht="21" customHeight="1">
      <c r="A7" s="61"/>
      <c r="B7" s="65" t="s">
        <v>79</v>
      </c>
      <c r="C7" s="66" t="s">
        <v>85</v>
      </c>
      <c r="D7" s="67"/>
    </row>
    <row r="8" spans="1:4" ht="21" customHeight="1">
      <c r="A8" s="61"/>
      <c r="B8" s="65" t="s">
        <v>80</v>
      </c>
      <c r="C8" s="66" t="s">
        <v>83</v>
      </c>
      <c r="D8" s="67"/>
    </row>
    <row r="9" spans="1:4" ht="21" customHeight="1" thickBot="1">
      <c r="A9" s="61"/>
      <c r="B9" s="68" t="s">
        <v>81</v>
      </c>
      <c r="C9" s="69" t="s">
        <v>87</v>
      </c>
      <c r="D9" s="67"/>
    </row>
    <row r="10" spans="1:4" ht="13.5" customHeight="1">
      <c r="A10" s="59"/>
      <c r="B10" s="70"/>
      <c r="C10" s="70"/>
      <c r="D10" s="59"/>
    </row>
  </sheetData>
  <sheetProtection/>
  <mergeCells count="1">
    <mergeCell ref="A1:C1"/>
  </mergeCells>
  <hyperlinks>
    <hyperlink ref="A1:C1" location="'Summary Sheet'!A1" display="Back"/>
  </hyperlink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B12"/>
  <sheetViews>
    <sheetView zoomScalePageLayoutView="0" workbookViewId="0" topLeftCell="A1">
      <selection activeCell="H30" sqref="H30"/>
    </sheetView>
  </sheetViews>
  <sheetFormatPr defaultColWidth="9.140625" defaultRowHeight="12.75"/>
  <sheetData>
    <row r="1" spans="1:2" ht="12.75">
      <c r="A1">
        <v>1</v>
      </c>
      <c r="B1" t="s">
        <v>35</v>
      </c>
    </row>
    <row r="2" spans="1:2" ht="12.75">
      <c r="A2">
        <v>2</v>
      </c>
      <c r="B2" t="s">
        <v>36</v>
      </c>
    </row>
    <row r="3" spans="1:2" ht="12.75">
      <c r="A3">
        <v>3</v>
      </c>
      <c r="B3" t="s">
        <v>37</v>
      </c>
    </row>
    <row r="4" spans="1:2" ht="12.75">
      <c r="A4">
        <v>4</v>
      </c>
      <c r="B4" t="s">
        <v>38</v>
      </c>
    </row>
    <row r="5" spans="1:2" ht="12.75">
      <c r="A5">
        <v>5</v>
      </c>
      <c r="B5" t="s">
        <v>39</v>
      </c>
    </row>
    <row r="6" spans="1:2" ht="12.75">
      <c r="A6">
        <v>6</v>
      </c>
      <c r="B6" t="s">
        <v>40</v>
      </c>
    </row>
    <row r="7" spans="1:2" ht="12.75">
      <c r="A7">
        <v>7</v>
      </c>
      <c r="B7" t="s">
        <v>41</v>
      </c>
    </row>
    <row r="8" spans="1:2" ht="12.75">
      <c r="A8">
        <v>8</v>
      </c>
      <c r="B8" t="s">
        <v>42</v>
      </c>
    </row>
    <row r="9" spans="1:2" ht="12.75">
      <c r="A9">
        <v>9</v>
      </c>
      <c r="B9" t="s">
        <v>43</v>
      </c>
    </row>
    <row r="10" spans="1:2" ht="12.75">
      <c r="A10">
        <v>10</v>
      </c>
      <c r="B10" t="s">
        <v>44</v>
      </c>
    </row>
    <row r="11" spans="1:2" ht="12.75">
      <c r="A11">
        <v>11</v>
      </c>
      <c r="B11" t="s">
        <v>45</v>
      </c>
    </row>
    <row r="12" spans="1:2" ht="12.75">
      <c r="A12">
        <v>12</v>
      </c>
      <c r="B12" t="s">
        <v>46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STHK Health Informatics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Authorised NHS Employee</dc:creator>
  <cp:keywords/>
  <dc:description/>
  <cp:lastModifiedBy>Kathryn Steer</cp:lastModifiedBy>
  <cp:lastPrinted>2018-10-11T11:40:11Z</cp:lastPrinted>
  <dcterms:created xsi:type="dcterms:W3CDTF">2011-11-01T13:43:18Z</dcterms:created>
  <dcterms:modified xsi:type="dcterms:W3CDTF">2020-05-07T12:38:56Z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